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5" activeTab="5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3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üres lap" sheetId="16" r:id="rId16"/>
  </sheets>
  <definedNames>
    <definedName name="_xlnm.Print_Area" localSheetId="1">'1 .sz.m.önk.össz.kiad.'!$A$1:$AE$66</definedName>
    <definedName name="_xlnm.Print_Area" localSheetId="0">'1.sz.m-önk.össze.bev'!$A$1:$X$63</definedName>
    <definedName name="_xlnm.Print_Area" localSheetId="13">'11.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Hiv'!$A$1:$Z$51</definedName>
    <definedName name="_xlnm.Print_Area" localSheetId="6">'5.2 sz. m ÁMK'!$A$1:$U$56</definedName>
    <definedName name="_xlnm.Print_Area" localSheetId="7">'6.a.sz.m.fejlesztés (3)'!$A$1:$X$32</definedName>
    <definedName name="_xlnm.Print_Area" localSheetId="8">'6.b.sz.m.intfejl (2)'!$A$1:$J$20</definedName>
    <definedName name="_xlnm.Print_Area" localSheetId="9">'7.sz.m.Dologi kiadás (3)'!$A$1:$X$21</definedName>
    <definedName name="_xlnm.Print_Area" localSheetId="10">'8.sz.m.szociális kiadások (2)'!$A$1:$W$34</definedName>
    <definedName name="_xlnm.Print_Area" localSheetId="11">'9.sz.m.átadott pe (3)'!$A$1:$AA$85</definedName>
    <definedName name="_xlnm.Print_Area" localSheetId="15">'üres lap'!$A$1:$R$44</definedName>
  </definedNames>
  <calcPr fullCalcOnLoad="1"/>
</workbook>
</file>

<file path=xl/sharedStrings.xml><?xml version="1.0" encoding="utf-8"?>
<sst xmlns="http://schemas.openxmlformats.org/spreadsheetml/2006/main" count="1464" uniqueCount="596">
  <si>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</si>
  <si>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</si>
  <si>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</si>
  <si>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</si>
  <si>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</si>
  <si>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</si>
  <si>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</si>
  <si>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</si>
  <si>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</si>
  <si>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</si>
  <si>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</si>
  <si>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</si>
  <si>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</si>
  <si>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</si>
  <si>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</si>
  <si>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</si>
  <si>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</si>
  <si>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</si>
  <si>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</si>
  <si>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</si>
  <si>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</si>
  <si>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</si>
  <si>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</si>
  <si>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</si>
  <si>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</si>
  <si>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</si>
  <si>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</si>
  <si>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</si>
  <si>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</si>
  <si>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</si>
  <si>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</si>
  <si>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</si>
  <si>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</si>
  <si>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</si>
  <si>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</si>
  <si>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</si>
  <si>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</si>
  <si>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</si>
  <si>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</si>
  <si>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</si>
  <si>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</si>
  <si>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</si>
  <si>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</si>
  <si>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</si>
  <si>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</si>
  <si>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</si>
  <si>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</si>
  <si>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</si>
  <si>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</si>
  <si>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</si>
  <si>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</si>
  <si>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</si>
  <si>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</si>
  <si>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</si>
  <si>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</si>
  <si>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</si>
  <si>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</si>
  <si>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</si>
  <si>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</si>
  <si>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</si>
  <si>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</si>
  <si>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</si>
  <si>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</si>
  <si>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</si>
  <si>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</si>
  <si>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</si>
  <si>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</si>
  <si>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</si>
  <si>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</si>
  <si>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</si>
  <si>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</si>
  <si>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</si>
  <si>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</si>
  <si>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</si>
  <si>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</si>
  <si>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</si>
  <si>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</si>
  <si>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</si>
  <si>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</si>
  <si>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</si>
  <si>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</si>
  <si>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</si>
  <si>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</si>
  <si>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</si>
  <si>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</si>
  <si>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</si>
  <si>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</si>
  <si>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</si>
  <si>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</si>
  <si>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</si>
  <si>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</si>
  <si>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</si>
  <si>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</si>
  <si>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</si>
  <si>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</si>
  <si>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</si>
  <si>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</si>
  <si>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</si>
  <si>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</si>
  <si>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</si>
  <si>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</si>
  <si>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</si>
  <si>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</si>
  <si>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</si>
  <si>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</si>
  <si>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</si>
  <si>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</si>
  <si>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</si>
  <si>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</si>
  <si>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</si>
  <si>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</si>
  <si>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</si>
  <si>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</si>
  <si>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</si>
  <si>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</si>
  <si>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</si>
  <si>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</si>
  <si>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</si>
  <si>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</si>
  <si>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</si>
  <si>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</si>
  <si>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</si>
  <si>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</si>
  <si>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</si>
  <si>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</si>
  <si>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</si>
  <si>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</si>
  <si>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</si>
  <si>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</si>
  <si>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</si>
  <si>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</si>
  <si>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</si>
  <si>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</si>
  <si>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</si>
  <si>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</si>
  <si>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</si>
  <si>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</si>
  <si>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</si>
  <si>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</si>
  <si>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</si>
  <si>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</si>
  <si>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</si>
  <si>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</si>
  <si>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</si>
  <si>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</si>
  <si>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</si>
  <si>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</si>
  <si>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</si>
  <si>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</si>
  <si>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</si>
  <si>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</si>
  <si>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</si>
  <si>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</si>
  <si>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</si>
  <si>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</si>
  <si>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</si>
  <si>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</si>
  <si>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</si>
  <si>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</si>
  <si>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</si>
  <si>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</si>
  <si>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</si>
  <si>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</si>
  <si>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</si>
  <si>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</si>
  <si>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</si>
  <si>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</si>
  <si>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</si>
  <si>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</si>
  <si>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</si>
  <si>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</si>
  <si>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</si>
  <si>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</si>
  <si>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</si>
  <si>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</si>
  <si>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</si>
  <si>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</si>
  <si>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</si>
  <si>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</si>
  <si>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</si>
  <si>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</si>
  <si>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</si>
  <si>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</si>
  <si>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</si>
  <si>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</si>
  <si>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</si>
  <si>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</si>
  <si>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</si>
  <si>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</si>
  <si>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</si>
  <si>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</si>
  <si>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</si>
  <si>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</si>
  <si>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</si>
  <si>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</si>
  <si>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</si>
  <si>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</si>
  <si>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</si>
  <si>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</si>
  <si>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</si>
  <si>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</si>
  <si>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</si>
  <si>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</si>
  <si>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</si>
  <si>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</si>
  <si>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</si>
  <si>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</si>
  <si>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</si>
  <si>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</si>
  <si>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</si>
  <si>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</si>
  <si>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</si>
  <si>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</si>
  <si>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</si>
  <si>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</si>
  <si>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</si>
  <si>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</si>
  <si>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</si>
  <si>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</si>
  <si>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</si>
  <si>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</si>
  <si>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</si>
  <si>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</si>
  <si>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</si>
  <si>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</si>
  <si>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</si>
  <si>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</si>
  <si>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</si>
  <si>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</si>
  <si>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</si>
  <si>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</si>
  <si>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</si>
  <si>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</si>
  <si>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</si>
  <si>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</si>
  <si>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</si>
  <si>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</si>
  <si>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</si>
  <si>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</si>
  <si>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</si>
  <si>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</si>
  <si>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</si>
  <si>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</si>
  <si>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</si>
  <si>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</si>
  <si>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</si>
  <si>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</si>
  <si>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</si>
  <si>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</si>
  <si>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</si>
  <si>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</si>
  <si>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</si>
  <si>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</si>
  <si>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</si>
  <si>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</si>
  <si>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</si>
  <si>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</si>
  <si>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</si>
  <si>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</si>
  <si>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</si>
  <si>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</si>
  <si>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</si>
  <si>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</si>
  <si>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</si>
  <si>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</si>
  <si>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</si>
  <si>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</si>
  <si>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</si>
  <si>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</si>
  <si>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</si>
  <si>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</si>
  <si>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</si>
  <si>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</si>
  <si>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</si>
  <si>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</si>
  <si>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</si>
  <si>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</si>
  <si>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</si>
  <si>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</si>
  <si>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</si>
  <si>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</si>
  <si>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</si>
  <si>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</si>
  <si>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</si>
  <si>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</si>
  <si>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</si>
  <si>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</si>
  <si>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</si>
  <si>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</si>
  <si>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</si>
  <si>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</si>
  <si>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</si>
  <si>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</si>
  <si>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</si>
  <si>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</si>
  <si>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</si>
  <si>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</si>
  <si>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</si>
  <si>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</si>
  <si>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</si>
  <si>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</si>
  <si>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</si>
  <si>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</si>
  <si>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</si>
  <si>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</si>
  <si>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</si>
  <si>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</si>
  <si>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</si>
  <si>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</si>
  <si>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</si>
  <si>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</si>
  <si>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</si>
  <si>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</si>
  <si>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</si>
  <si>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</si>
  <si>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</si>
  <si>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</si>
  <si>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</si>
  <si>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</si>
  <si>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</si>
  <si>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</si>
  <si>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</si>
  <si>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</si>
  <si>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</si>
  <si>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</si>
  <si>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</si>
  <si>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</si>
  <si>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</si>
  <si>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</si>
  <si>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</si>
  <si>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</si>
  <si>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</si>
  <si>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</si>
  <si>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</si>
  <si>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</si>
  <si>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</si>
  <si>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</si>
  <si>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</si>
  <si>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</si>
  <si>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</si>
  <si>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</si>
  <si>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</si>
  <si>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</si>
  <si>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</si>
  <si>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</si>
  <si>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</si>
  <si>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</si>
  <si>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</si>
  <si>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</si>
  <si>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</si>
  <si>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</si>
  <si>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</si>
  <si>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</si>
  <si>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</si>
  <si>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</si>
  <si>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</si>
  <si>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</si>
  <si>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</si>
  <si>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</si>
  <si>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</si>
  <si>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</si>
  <si>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</si>
  <si>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</si>
  <si>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</si>
  <si>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</si>
  <si>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</si>
  <si>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</si>
  <si>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</si>
  <si>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</si>
  <si>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</si>
  <si>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</si>
  <si>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</si>
  <si>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</si>
  <si>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</si>
  <si>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</si>
  <si>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</si>
  <si>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</si>
  <si>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</si>
  <si>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</si>
  <si>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</si>
  <si>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</si>
  <si>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</si>
  <si>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</si>
  <si>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</si>
  <si>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</si>
  <si>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</si>
  <si>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</si>
  <si>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</si>
  <si>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</si>
  <si>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</si>
  <si>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</si>
  <si>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</si>
  <si>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</si>
  <si>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</si>
  <si>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</si>
  <si>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</si>
  <si>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</si>
  <si>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</si>
  <si>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</si>
  <si>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</si>
  <si>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</si>
  <si>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</si>
  <si>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</si>
  <si>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</si>
  <si>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</si>
  <si>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</si>
  <si>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</si>
  <si>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</si>
  <si>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</si>
  <si>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</si>
  <si>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</si>
  <si>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</si>
  <si>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</si>
  <si>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</si>
  <si>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</si>
  <si>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</si>
  <si>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</si>
  <si>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</si>
  <si>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</si>
  <si>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</si>
  <si>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</si>
  <si>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</si>
  <si>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</si>
  <si>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</si>
  <si>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</si>
  <si>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</si>
  <si>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</si>
  <si>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</si>
  <si>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</si>
  <si>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</si>
  <si>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</si>
  <si>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1. számú melléklet</t>
  </si>
  <si>
    <t>11. számú melléklet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</si>
  <si>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</si>
  <si>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</si>
  <si>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</si>
  <si>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</si>
  <si>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</si>
  <si>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</si>
  <si>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</si>
  <si>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</si>
  <si>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</si>
  <si>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</si>
  <si>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</si>
  <si>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</si>
  <si>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</si>
  <si>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</si>
  <si>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</si>
  <si>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</si>
  <si>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</si>
  <si>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</si>
  <si>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</si>
  <si>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</si>
  <si>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</si>
  <si>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</si>
  <si>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</si>
  <si>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</si>
  <si>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</si>
  <si>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</si>
  <si>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</si>
  <si>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</si>
  <si>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</si>
  <si>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</si>
  <si>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</si>
  <si>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</si>
  <si>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 xml:space="preserve"> mód. III.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</si>
  <si>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</si>
  <si>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</si>
  <si>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</si>
  <si>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</si>
  <si>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</si>
  <si>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</si>
  <si>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</si>
  <si>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</si>
  <si>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</si>
  <si>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</si>
  <si>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ÁH belüli megelőlegezések visszafizetései</t>
  </si>
  <si>
    <t>6.3</t>
  </si>
  <si>
    <t>I.6. előző évről áthúzódó bérkompenzáció</t>
  </si>
  <si>
    <t>III.6 Szociális ágazati pótlék</t>
  </si>
  <si>
    <t>Könyvtári célú érdekeltségnövelő támogatás</t>
  </si>
  <si>
    <t>BURSA</t>
  </si>
  <si>
    <t>Vöröskereszt</t>
  </si>
  <si>
    <t>Egyéb tárgyi eszközök értékesítése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</si>
  <si>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</si>
  <si>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</si>
  <si>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</si>
  <si>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</si>
  <si>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</si>
  <si>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</si>
  <si>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telj. %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</si>
  <si>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</si>
  <si>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</si>
  <si>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</si>
  <si>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</si>
  <si>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</si>
  <si>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</si>
  <si>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</si>
  <si>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Államháztartáson belüli megelőlegezés</t>
  </si>
  <si>
    <t>mód. V.</t>
  </si>
  <si>
    <t>Nagycenk Nagyközség Önkormányzata</t>
  </si>
  <si>
    <t>Régi Beled Baráti Kör</t>
  </si>
  <si>
    <t>Fidesz-Magyar Polgári Szövetség</t>
  </si>
  <si>
    <t>Egészséges Óvodás Gyermekekért Alapítvány</t>
  </si>
  <si>
    <t>Rendkívüli önkormányzati támogatás</t>
  </si>
  <si>
    <t>Szociális tüzelőanyag támogatás</t>
  </si>
  <si>
    <t>Államháztartáson belüli megelőlegezések</t>
  </si>
  <si>
    <t xml:space="preserve">Forintban </t>
  </si>
  <si>
    <t>Irányítószervi (önkormányzati) támogatás</t>
  </si>
  <si>
    <t>Önkormányzat 2016. évi kiadási előirányzatai</t>
  </si>
  <si>
    <t>Önkormányzat 2016. évi bevételi előirányzatai</t>
  </si>
  <si>
    <t>Ft-ban</t>
  </si>
  <si>
    <t>Önkormányzat összevont 2016. évi bevételi előirányzatai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</si>
  <si>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</si>
  <si>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</si>
  <si>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</si>
  <si>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</si>
  <si>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</si>
  <si>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</si>
  <si>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Telefon beszerzése polgármesternek</t>
  </si>
  <si>
    <t>Ravatalozó előtető felújítása</t>
  </si>
  <si>
    <t>Ifjúság utca felújítása</t>
  </si>
  <si>
    <t>Járda felújítása</t>
  </si>
  <si>
    <t>75 db szék ebédlőbe</t>
  </si>
  <si>
    <t>Hűtőszekrény, kávéfőző óvodába</t>
  </si>
  <si>
    <t xml:space="preserve">2016. év </t>
  </si>
  <si>
    <t>2016. év</t>
  </si>
  <si>
    <t>Szociális tűzifa (2015. évről áthúzódó)</t>
  </si>
  <si>
    <t>Szünidei gyermekétkeztetés</t>
  </si>
  <si>
    <t>2016. évi előirányzat</t>
  </si>
  <si>
    <t>Forintban</t>
  </si>
  <si>
    <t>Előirányzat-felhasználási terv
2016. évre</t>
  </si>
  <si>
    <t>3 a.) Család- és gyermekjóléti szolgálat</t>
  </si>
  <si>
    <t>3 c.) Szociális étkeztetés</t>
  </si>
  <si>
    <t>3 d.) Házi segítégnyújtás</t>
  </si>
  <si>
    <t>3 f.) Időskorúak nappali intézményi ellátása</t>
  </si>
  <si>
    <t>3 jb.) Gyermekek napközbeni ellátása - családi napközi</t>
  </si>
  <si>
    <t xml:space="preserve">III. 5. c. A rászoruló gyermekek intézményen kívüli szünidei étkeztetésének támogatása </t>
  </si>
  <si>
    <t>IX. 2. a. Pszichiátriai betegek részére nyújtott közösségi alapellátás - alaptámogatás</t>
  </si>
  <si>
    <t>IX. 2. b. Pszichiátriai betegek részére nyújtott közösségi alapellátás - teljesíménytámogatás</t>
  </si>
  <si>
    <t>IX. 2. Pszichiátriai betegek részére nyújtott közösségi alapellátás</t>
  </si>
  <si>
    <t>A 2016. évi általános működés és ágazati feladatok támogatásának alakulása jogcímenként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</si>
  <si>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</si>
  <si>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</si>
  <si>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</si>
  <si>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</si>
  <si>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</si>
  <si>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380/2015. (XII. 8.) Kormányrendelet szerinti kiegészítő ágazati pótlék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</si>
  <si>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</si>
  <si>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</si>
  <si>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</si>
  <si>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</si>
  <si>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Betonáru földmérés</t>
  </si>
  <si>
    <t>Holokauszt emlékmű felajánlásból</t>
  </si>
  <si>
    <t>Udvari játék telepítése játszótérre</t>
  </si>
  <si>
    <t>Gázkazán beszerzése Rákóczi u. 158. szám alatti lakásba</t>
  </si>
  <si>
    <t>Rugós játék beszerzése játszótérre képviselői felajánlásból</t>
  </si>
  <si>
    <t>Ivókút vásárlása játszótérre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</si>
  <si>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</si>
  <si>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</si>
  <si>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</si>
  <si>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</si>
  <si>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</si>
  <si>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</si>
  <si>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</si>
  <si>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</si>
  <si>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</si>
  <si>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</si>
  <si>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</si>
  <si>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</si>
  <si>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</si>
  <si>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</si>
  <si>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</si>
  <si>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</si>
  <si>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Művelődési ház, Hivatal energetikai felújítása (TOP pályázat)</t>
  </si>
  <si>
    <t>Közvilágítás korszerűsítése</t>
  </si>
  <si>
    <t>Emléktábla készítése</t>
  </si>
  <si>
    <t>5 db kültéri kamera beszerzése</t>
  </si>
  <si>
    <t>2 db monitor vásárlása könyvtárba</t>
  </si>
  <si>
    <t>kisértékű informatikai eszköz beszerzése könyvtárba érdekeltségnövelő támogatásból</t>
  </si>
  <si>
    <t xml:space="preserve">Finanszírozási műveletek </t>
  </si>
  <si>
    <t>adatok Ft-ban</t>
  </si>
  <si>
    <t>Országos Mentőszolgálat Alapítvány</t>
  </si>
  <si>
    <t>Delta Testépítő Klub (országos verseny)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</si>
  <si>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</si>
  <si>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</si>
  <si>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</si>
  <si>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</si>
  <si>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Átmeneti jelleggel átadott pénzeszközök</t>
  </si>
  <si>
    <t>Dénesfa Község Önkormányzata</t>
  </si>
  <si>
    <t>4. számú melléklet 2.3.3 sorának részletezése</t>
  </si>
  <si>
    <t>Hallásvizsgáló készülék beszerzése védőnői szolgálathoz</t>
  </si>
  <si>
    <t>járda (hivatal melletti köz) felújítása</t>
  </si>
  <si>
    <t>Mód. III., IV.</t>
  </si>
  <si>
    <t>6/b. számú melléklet</t>
  </si>
  <si>
    <t>7. számú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</si>
</sst>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11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0" fillId="22" borderId="7" applyNumberFormat="0" applyFont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4" fillId="29" borderId="0" applyNumberFormat="0" applyBorder="0" applyAlignment="0" applyProtection="0"/>
    <xf numFmtId="0" fontId="105" fillId="30" borderId="8" applyNumberFormat="0" applyAlignment="0" applyProtection="0"/>
    <xf numFmtId="0" fontId="6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109" fillId="32" borderId="0" applyNumberFormat="0" applyBorder="0" applyAlignment="0" applyProtection="0"/>
    <xf numFmtId="0" fontId="110" fillId="30" borderId="1" applyNumberFormat="0" applyAlignment="0" applyProtection="0"/>
    <xf numFmtId="9" fontId="0" fillId="0" borderId="0" applyFont="0" applyFill="0" applyBorder="0" applyAlignment="0" applyProtection="0"/>
  </cellStyleXfs>
  <cellXfs count="12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17" fillId="0" borderId="0" xfId="58" applyFont="1" applyBorder="1" applyAlignment="1">
      <alignment horizont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6" fillId="0" borderId="13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2" fillId="0" borderId="17" xfId="58" applyFont="1" applyFill="1" applyBorder="1" applyAlignment="1">
      <alignment vertical="center" wrapText="1"/>
      <protection/>
    </xf>
    <xf numFmtId="0" fontId="0" fillId="0" borderId="18" xfId="58" applyFont="1" applyBorder="1" applyAlignment="1">
      <alignment horizontal="center"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9" xfId="58" applyFont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2" fillId="0" borderId="20" xfId="58" applyFont="1" applyBorder="1" applyAlignment="1">
      <alignment vertical="center" wrapText="1"/>
      <protection/>
    </xf>
    <xf numFmtId="0" fontId="12" fillId="0" borderId="20" xfId="58" applyFont="1" applyBorder="1" applyAlignment="1">
      <alignment wrapText="1"/>
      <protection/>
    </xf>
    <xf numFmtId="3" fontId="35" fillId="0" borderId="21" xfId="58" applyNumberFormat="1" applyFont="1" applyFill="1" applyBorder="1" applyAlignment="1">
      <alignment horizontal="right"/>
      <protection/>
    </xf>
    <xf numFmtId="0" fontId="35" fillId="0" borderId="21" xfId="58" applyFont="1" applyBorder="1" applyAlignment="1">
      <alignment horizontal="right"/>
      <protection/>
    </xf>
    <xf numFmtId="3" fontId="35" fillId="0" borderId="22" xfId="58" applyNumberFormat="1" applyFont="1" applyBorder="1" applyAlignment="1">
      <alignment horizontal="right"/>
      <protection/>
    </xf>
    <xf numFmtId="3" fontId="35" fillId="0" borderId="21" xfId="58" applyNumberFormat="1" applyFont="1" applyBorder="1" applyAlignment="1">
      <alignment horizontal="right"/>
      <protection/>
    </xf>
    <xf numFmtId="3" fontId="18" fillId="0" borderId="23" xfId="40" applyNumberFormat="1" applyFont="1" applyBorder="1" applyAlignment="1">
      <alignment horizontal="right" vertical="center"/>
    </xf>
    <xf numFmtId="3" fontId="18" fillId="0" borderId="23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4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1" xfId="58" applyFont="1" applyFill="1" applyBorder="1" applyAlignment="1">
      <alignment horizontal="left"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1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5" fillId="0" borderId="22" xfId="58" applyNumberFormat="1" applyFont="1" applyFill="1" applyBorder="1" applyAlignment="1">
      <alignment horizontal="right"/>
      <protection/>
    </xf>
    <xf numFmtId="3" fontId="35" fillId="0" borderId="25" xfId="58" applyNumberFormat="1" applyFont="1" applyBorder="1" applyAlignment="1">
      <alignment horizontal="right"/>
      <protection/>
    </xf>
    <xf numFmtId="0" fontId="15" fillId="0" borderId="26" xfId="58" applyFont="1" applyBorder="1" applyAlignment="1">
      <alignment wrapText="1"/>
      <protection/>
    </xf>
    <xf numFmtId="0" fontId="14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1" fillId="0" borderId="21" xfId="58" applyFont="1" applyFill="1" applyBorder="1" applyAlignment="1">
      <alignment vertical="center"/>
      <protection/>
    </xf>
    <xf numFmtId="0" fontId="31" fillId="0" borderId="27" xfId="58" applyFont="1" applyFill="1" applyBorder="1" applyAlignment="1">
      <alignment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2" fillId="0" borderId="0" xfId="0" applyFont="1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7" fillId="0" borderId="3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2" xfId="0" applyNumberFormat="1" applyFont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3" fontId="7" fillId="0" borderId="2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29" fillId="0" borderId="0" xfId="0" applyNumberFormat="1" applyFont="1" applyFill="1" applyAlignment="1" applyProtection="1">
      <alignment horizontal="left" vertical="center" wrapText="1"/>
      <protection/>
    </xf>
    <xf numFmtId="167" fontId="29" fillId="0" borderId="0" xfId="0" applyNumberFormat="1" applyFont="1" applyFill="1" applyAlignment="1" applyProtection="1">
      <alignment vertical="center" wrapText="1"/>
      <protection/>
    </xf>
    <xf numFmtId="167" fontId="43" fillId="0" borderId="0" xfId="0" applyNumberFormat="1" applyFont="1" applyFill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right" vertical="top"/>
      <protection locked="0"/>
    </xf>
    <xf numFmtId="167" fontId="29" fillId="0" borderId="0" xfId="0" applyNumberFormat="1" applyFont="1" applyFill="1" applyAlignment="1">
      <alignment vertical="center" wrapText="1"/>
    </xf>
    <xf numFmtId="0" fontId="45" fillId="0" borderId="0" xfId="0" applyFont="1" applyAlignment="1" applyProtection="1">
      <alignment horizontal="right" vertical="top"/>
      <protection locked="0"/>
    </xf>
    <xf numFmtId="167" fontId="46" fillId="0" borderId="0" xfId="0" applyNumberFormat="1" applyFont="1" applyFill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/>
    </xf>
    <xf numFmtId="0" fontId="43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43" fillId="0" borderId="32" xfId="0" applyFont="1" applyFill="1" applyBorder="1" applyAlignment="1" applyProtection="1">
      <alignment horizontal="center" vertical="center" wrapTex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 indent="1"/>
      <protection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49" fontId="39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39" fillId="0" borderId="21" xfId="60" applyFont="1" applyFill="1" applyBorder="1" applyAlignment="1" applyProtection="1">
      <alignment horizontal="left" vertical="center" wrapText="1" indent="1"/>
      <protection/>
    </xf>
    <xf numFmtId="167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0" fontId="39" fillId="0" borderId="17" xfId="60" applyFont="1" applyFill="1" applyBorder="1" applyAlignment="1" applyProtection="1">
      <alignment horizontal="left" vertical="center" wrapText="1" inden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3" xfId="60" applyFont="1" applyFill="1" applyBorder="1" applyAlignment="1" applyProtection="1">
      <alignment horizontal="left" vertical="center" wrapText="1" inden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60" applyFont="1" applyFill="1" applyBorder="1" applyAlignment="1" applyProtection="1">
      <alignment horizontal="left" vertical="center" wrapText="1" indent="1"/>
      <protection/>
    </xf>
    <xf numFmtId="167" fontId="3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39" xfId="0" applyFont="1" applyFill="1" applyBorder="1" applyAlignment="1" applyProtection="1">
      <alignment horizontal="center" vertical="center" wrapText="1"/>
      <protection/>
    </xf>
    <xf numFmtId="49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40" xfId="60" applyFont="1" applyFill="1" applyBorder="1" applyAlignment="1" applyProtection="1">
      <alignment horizontal="left" vertical="center" wrapText="1" indent="1"/>
      <protection/>
    </xf>
    <xf numFmtId="167" fontId="3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48" fillId="0" borderId="42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47" fillId="0" borderId="35" xfId="60" applyFont="1" applyFill="1" applyBorder="1" applyAlignment="1" applyProtection="1">
      <alignment horizontal="left" vertical="center" wrapText="1" indent="1"/>
      <protection/>
    </xf>
    <xf numFmtId="49" fontId="39" fillId="0" borderId="15" xfId="60" applyNumberFormat="1" applyFont="1" applyFill="1" applyBorder="1" applyAlignment="1" applyProtection="1">
      <alignment horizontal="left" vertical="center" wrapText="1" inden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49" fontId="39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39" fillId="0" borderId="23" xfId="60" applyFont="1" applyFill="1" applyBorder="1" applyAlignment="1" applyProtection="1">
      <alignment horizontal="left" vertical="center" wrapText="1" indent="1"/>
      <protection/>
    </xf>
    <xf numFmtId="167" fontId="3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7" fillId="0" borderId="44" xfId="60" applyFont="1" applyFill="1" applyBorder="1" applyAlignment="1" applyProtection="1">
      <alignment horizontal="left" vertical="center" wrapText="1" indent="1"/>
      <protection/>
    </xf>
    <xf numFmtId="0" fontId="50" fillId="0" borderId="44" xfId="0" applyFont="1" applyBorder="1" applyAlignment="1" applyProtection="1">
      <alignment horizontal="center" wrapText="1"/>
      <protection/>
    </xf>
    <xf numFmtId="0" fontId="51" fillId="0" borderId="44" xfId="0" applyFont="1" applyBorder="1" applyAlignment="1" applyProtection="1">
      <alignment horizontal="left" wrapText="1" inden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 indent="1"/>
      <protection/>
    </xf>
    <xf numFmtId="167" fontId="4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Fill="1" applyAlignment="1">
      <alignment vertical="center" wrapText="1"/>
    </xf>
    <xf numFmtId="0" fontId="39" fillId="0" borderId="0" xfId="0" applyFont="1" applyFill="1" applyAlignment="1" applyProtection="1">
      <alignment horizontal="left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right" vertical="center" wrapText="1" inden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34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7" fillId="0" borderId="13" xfId="60" applyFont="1" applyFill="1" applyBorder="1" applyAlignment="1" applyProtection="1">
      <alignment horizontal="left" vertical="center" wrapText="1" indent="1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49" fontId="39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49" fontId="39" fillId="0" borderId="21" xfId="60" applyNumberFormat="1" applyFont="1" applyFill="1" applyBorder="1" applyAlignment="1" applyProtection="1">
      <alignment horizontal="left" vertical="center" wrapText="1" indent="1"/>
      <protection/>
    </xf>
    <xf numFmtId="167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53" fillId="0" borderId="3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5" xfId="0" applyNumberFormat="1" applyFont="1" applyFill="1" applyBorder="1" applyAlignment="1" applyProtection="1">
      <alignment horizontal="center" vertical="center" wrapText="1"/>
      <protection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29" fillId="0" borderId="0" xfId="60" applyFill="1">
      <alignment/>
      <protection/>
    </xf>
    <xf numFmtId="3" fontId="39" fillId="0" borderId="0" xfId="60" applyNumberFormat="1" applyFont="1" applyFill="1" applyBorder="1">
      <alignment/>
      <protection/>
    </xf>
    <xf numFmtId="167" fontId="39" fillId="0" borderId="0" xfId="60" applyNumberFormat="1" applyFont="1" applyFill="1" applyBorder="1">
      <alignment/>
      <protection/>
    </xf>
    <xf numFmtId="0" fontId="47" fillId="0" borderId="12" xfId="60" applyFont="1" applyFill="1" applyBorder="1" applyAlignment="1" applyProtection="1">
      <alignment horizontal="left" vertical="center" wrapText="1" indent="1"/>
      <protection/>
    </xf>
    <xf numFmtId="0" fontId="55" fillId="0" borderId="0" xfId="60" applyFont="1" applyFill="1">
      <alignment/>
      <protection/>
    </xf>
    <xf numFmtId="49" fontId="39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39" fillId="0" borderId="0" xfId="60" applyFont="1" applyFill="1" applyBorder="1" applyAlignment="1" applyProtection="1">
      <alignment horizontal="left" indent="5"/>
      <protection/>
    </xf>
    <xf numFmtId="3" fontId="39" fillId="0" borderId="0" xfId="60" applyNumberFormat="1" applyFont="1" applyFill="1" applyBorder="1" applyAlignment="1" applyProtection="1">
      <alignment horizontal="right" vertical="center" wrapText="1"/>
      <protection/>
    </xf>
    <xf numFmtId="0" fontId="40" fillId="0" borderId="0" xfId="60" applyFont="1" applyFill="1" applyAlignment="1">
      <alignment horizontal="center" wrapText="1"/>
      <protection/>
    </xf>
    <xf numFmtId="3" fontId="39" fillId="0" borderId="0" xfId="60" applyNumberFormat="1" applyFont="1" applyFill="1">
      <alignment/>
      <protection/>
    </xf>
    <xf numFmtId="0" fontId="39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49" fontId="7" fillId="0" borderId="46" xfId="0" applyNumberFormat="1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5" fillId="0" borderId="26" xfId="58" applyFont="1" applyFill="1" applyBorder="1" applyAlignment="1">
      <alignment wrapText="1"/>
      <protection/>
    </xf>
    <xf numFmtId="0" fontId="47" fillId="0" borderId="14" xfId="60" applyFont="1" applyFill="1" applyBorder="1" applyAlignment="1" applyProtection="1">
      <alignment horizontal="left" vertical="center" wrapText="1" indent="1"/>
      <protection/>
    </xf>
    <xf numFmtId="49" fontId="4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47" fillId="0" borderId="20" xfId="60" applyNumberFormat="1" applyFont="1" applyFill="1" applyBorder="1" applyAlignment="1" applyProtection="1">
      <alignment horizontal="left" vertical="center" wrapText="1" indent="1"/>
      <protection/>
    </xf>
    <xf numFmtId="167" fontId="29" fillId="0" borderId="0" xfId="0" applyNumberFormat="1" applyFont="1" applyFill="1" applyBorder="1" applyAlignment="1" applyProtection="1">
      <alignment horizontal="left" vertical="center" wrapText="1"/>
      <protection/>
    </xf>
    <xf numFmtId="167" fontId="26" fillId="0" borderId="13" xfId="60" applyNumberFormat="1" applyFont="1" applyFill="1" applyBorder="1" applyAlignment="1" applyProtection="1">
      <alignment horizontal="right" vertical="center" wrapText="1"/>
      <protection/>
    </xf>
    <xf numFmtId="167" fontId="36" fillId="0" borderId="10" xfId="60" applyNumberFormat="1" applyFont="1" applyFill="1" applyBorder="1" applyAlignment="1" applyProtection="1">
      <alignment horizontal="left" vertical="center"/>
      <protection/>
    </xf>
    <xf numFmtId="3" fontId="26" fillId="0" borderId="15" xfId="60" applyNumberFormat="1" applyFont="1" applyFill="1" applyBorder="1" applyAlignment="1" applyProtection="1">
      <alignment horizontal="right" vertical="center" wrapText="1"/>
      <protection/>
    </xf>
    <xf numFmtId="3" fontId="26" fillId="0" borderId="21" xfId="60" applyNumberFormat="1" applyFont="1" applyFill="1" applyBorder="1" applyAlignment="1" applyProtection="1">
      <alignment horizontal="right" vertical="center" wrapText="1"/>
      <protection/>
    </xf>
    <xf numFmtId="3" fontId="26" fillId="0" borderId="23" xfId="60" applyNumberFormat="1" applyFont="1" applyFill="1" applyBorder="1" applyAlignment="1" applyProtection="1">
      <alignment horizontal="right" vertical="center" wrapText="1"/>
      <protection/>
    </xf>
    <xf numFmtId="49" fontId="37" fillId="0" borderId="19" xfId="60" applyNumberFormat="1" applyFont="1" applyFill="1" applyBorder="1" applyAlignment="1" applyProtection="1">
      <alignment horizontal="left" vertical="center" wrapText="1"/>
      <protection/>
    </xf>
    <xf numFmtId="49" fontId="28" fillId="0" borderId="19" xfId="60" applyNumberFormat="1" applyFont="1" applyFill="1" applyBorder="1" applyAlignment="1">
      <alignment horizontal="left"/>
      <protection/>
    </xf>
    <xf numFmtId="49" fontId="28" fillId="0" borderId="19" xfId="60" applyNumberFormat="1" applyFont="1" applyFill="1" applyBorder="1" applyAlignment="1" applyProtection="1">
      <alignment horizontal="left" vertical="center" wrapText="1"/>
      <protection/>
    </xf>
    <xf numFmtId="0" fontId="26" fillId="0" borderId="14" xfId="60" applyFont="1" applyFill="1" applyBorder="1" applyAlignment="1">
      <alignment horizontal="center"/>
      <protection/>
    </xf>
    <xf numFmtId="3" fontId="26" fillId="0" borderId="15" xfId="60" applyNumberFormat="1" applyFont="1" applyFill="1" applyBorder="1">
      <alignment/>
      <protection/>
    </xf>
    <xf numFmtId="3" fontId="28" fillId="0" borderId="21" xfId="60" applyNumberFormat="1" applyFont="1" applyFill="1" applyBorder="1">
      <alignment/>
      <protection/>
    </xf>
    <xf numFmtId="167" fontId="28" fillId="0" borderId="21" xfId="60" applyNumberFormat="1" applyFont="1" applyFill="1" applyBorder="1">
      <alignment/>
      <protection/>
    </xf>
    <xf numFmtId="49" fontId="37" fillId="0" borderId="20" xfId="60" applyNumberFormat="1" applyFont="1" applyFill="1" applyBorder="1" applyAlignment="1">
      <alignment horizontal="left"/>
      <protection/>
    </xf>
    <xf numFmtId="3" fontId="28" fillId="0" borderId="23" xfId="60" applyNumberFormat="1" applyFont="1" applyFill="1" applyBorder="1">
      <alignment/>
      <protection/>
    </xf>
    <xf numFmtId="167" fontId="26" fillId="0" borderId="40" xfId="60" applyNumberFormat="1" applyFont="1" applyFill="1" applyBorder="1" applyAlignment="1" applyProtection="1">
      <alignment horizontal="right" vertical="center" wrapText="1"/>
      <protection/>
    </xf>
    <xf numFmtId="167" fontId="26" fillId="0" borderId="15" xfId="60" applyNumberFormat="1" applyFont="1" applyFill="1" applyBorder="1" applyAlignment="1" applyProtection="1">
      <alignment horizontal="right" vertical="center" wrapText="1"/>
      <protection/>
    </xf>
    <xf numFmtId="167" fontId="26" fillId="0" borderId="21" xfId="60" applyNumberFormat="1" applyFont="1" applyFill="1" applyBorder="1" applyAlignment="1" applyProtection="1">
      <alignment horizontal="right" vertical="center" wrapText="1"/>
      <protection/>
    </xf>
    <xf numFmtId="3" fontId="18" fillId="0" borderId="43" xfId="58" applyNumberFormat="1" applyFont="1" applyBorder="1" applyAlignment="1">
      <alignment horizontal="right"/>
      <protection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35" xfId="0" applyNumberFormat="1" applyFont="1" applyFill="1" applyBorder="1" applyAlignment="1" applyProtection="1">
      <alignment horizontal="center" vertical="center" wrapText="1"/>
      <protection/>
    </xf>
    <xf numFmtId="167" fontId="43" fillId="0" borderId="48" xfId="0" applyNumberFormat="1" applyFont="1" applyFill="1" applyBorder="1" applyAlignment="1" applyProtection="1">
      <alignment horizontal="center" vertical="center" wrapText="1"/>
      <protection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9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9" xfId="0" applyNumberFormat="1" applyFont="1" applyFill="1" applyBorder="1" applyAlignment="1" applyProtection="1">
      <alignment horizontal="center" vertical="center" wrapText="1"/>
      <protection/>
    </xf>
    <xf numFmtId="167" fontId="43" fillId="0" borderId="51" xfId="0" applyNumberFormat="1" applyFont="1" applyFill="1" applyBorder="1" applyAlignment="1" applyProtection="1">
      <alignment horizontal="center" vertical="center" wrapText="1"/>
      <protection/>
    </xf>
    <xf numFmtId="167" fontId="4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0" fontId="40" fillId="0" borderId="0" xfId="60" applyFont="1" applyFill="1" applyBorder="1" applyAlignment="1">
      <alignment horizont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40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7" fillId="0" borderId="53" xfId="0" applyFont="1" applyFill="1" applyBorder="1" applyAlignment="1" applyProtection="1">
      <alignment horizontal="center" vertical="center" wrapText="1"/>
      <protection/>
    </xf>
    <xf numFmtId="167" fontId="4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17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Fill="1" applyBorder="1" applyAlignment="1" applyProtection="1">
      <alignment horizontal="center" vertical="center" wrapText="1"/>
      <protection/>
    </xf>
    <xf numFmtId="0" fontId="16" fillId="33" borderId="37" xfId="58" applyFont="1" applyFill="1" applyBorder="1" applyAlignment="1">
      <alignment horizontal="center" vertical="center"/>
      <protection/>
    </xf>
    <xf numFmtId="0" fontId="16" fillId="33" borderId="27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0" fontId="16" fillId="33" borderId="35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0" fillId="0" borderId="44" xfId="0" applyFont="1" applyBorder="1" applyAlignment="1" applyProtection="1">
      <alignment horizontal="center" wrapText="1"/>
      <protection/>
    </xf>
    <xf numFmtId="0" fontId="45" fillId="0" borderId="44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4" xfId="58" applyNumberFormat="1" applyFont="1" applyFill="1" applyBorder="1" applyAlignment="1">
      <alignment vertical="center"/>
      <protection/>
    </xf>
    <xf numFmtId="0" fontId="11" fillId="0" borderId="16" xfId="58" applyFont="1" applyBorder="1" applyAlignment="1">
      <alignment vertical="center" wrapText="1"/>
      <protection/>
    </xf>
    <xf numFmtId="0" fontId="11" fillId="0" borderId="18" xfId="58" applyFont="1" applyBorder="1" applyAlignment="1">
      <alignment vertical="center" wrapText="1"/>
      <protection/>
    </xf>
    <xf numFmtId="0" fontId="11" fillId="0" borderId="32" xfId="58" applyFont="1" applyBorder="1" applyAlignment="1">
      <alignment vertical="center" wrapText="1"/>
      <protection/>
    </xf>
    <xf numFmtId="0" fontId="11" fillId="0" borderId="55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6" xfId="58" applyFont="1" applyBorder="1" applyAlignment="1">
      <alignment vertical="center"/>
      <protection/>
    </xf>
    <xf numFmtId="0" fontId="11" fillId="0" borderId="32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2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2" fillId="0" borderId="56" xfId="58" applyFont="1" applyBorder="1" applyAlignment="1">
      <alignment horizontal="center" vertical="center"/>
      <protection/>
    </xf>
    <xf numFmtId="0" fontId="7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0" xfId="43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49" fontId="0" fillId="0" borderId="47" xfId="0" applyNumberFormat="1" applyFont="1" applyBorder="1" applyAlignment="1">
      <alignment horizontal="left"/>
    </xf>
    <xf numFmtId="0" fontId="13" fillId="0" borderId="34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1" fillId="0" borderId="0" xfId="58" applyNumberFormat="1" applyFont="1">
      <alignment/>
      <protection/>
    </xf>
    <xf numFmtId="10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58" xfId="58" applyNumberFormat="1" applyFont="1" applyFill="1" applyBorder="1" applyAlignment="1">
      <alignment horizontal="right"/>
      <protection/>
    </xf>
    <xf numFmtId="3" fontId="35" fillId="0" borderId="58" xfId="58" applyNumberFormat="1" applyFont="1" applyBorder="1" applyAlignment="1">
      <alignment horizontal="right"/>
      <protection/>
    </xf>
    <xf numFmtId="0" fontId="35" fillId="0" borderId="19" xfId="58" applyFont="1" applyBorder="1" applyAlignment="1">
      <alignment horizontal="right"/>
      <protection/>
    </xf>
    <xf numFmtId="3" fontId="35" fillId="0" borderId="19" xfId="58" applyNumberFormat="1" applyFont="1" applyBorder="1" applyAlignment="1">
      <alignment horizontal="right"/>
      <protection/>
    </xf>
    <xf numFmtId="3" fontId="35" fillId="0" borderId="19" xfId="58" applyNumberFormat="1" applyFont="1" applyFill="1" applyBorder="1" applyAlignment="1">
      <alignment horizontal="right"/>
      <protection/>
    </xf>
    <xf numFmtId="3" fontId="35" fillId="0" borderId="54" xfId="58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 vertical="center"/>
    </xf>
    <xf numFmtId="10" fontId="4" fillId="0" borderId="36" xfId="0" applyNumberFormat="1" applyFont="1" applyBorder="1" applyAlignment="1">
      <alignment vertical="center"/>
    </xf>
    <xf numFmtId="0" fontId="11" fillId="0" borderId="31" xfId="58" applyFont="1" applyBorder="1" applyAlignment="1">
      <alignment vertical="center" wrapText="1"/>
      <protection/>
    </xf>
    <xf numFmtId="0" fontId="11" fillId="0" borderId="30" xfId="58" applyFont="1" applyBorder="1" applyAlignment="1">
      <alignment vertical="center" wrapText="1"/>
      <protection/>
    </xf>
    <xf numFmtId="0" fontId="11" fillId="0" borderId="30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 wrapText="1"/>
      <protection/>
    </xf>
    <xf numFmtId="0" fontId="17" fillId="0" borderId="34" xfId="58" applyFont="1" applyBorder="1" applyAlignment="1">
      <alignment horizontal="center" vertical="center" wrapText="1"/>
      <protection/>
    </xf>
    <xf numFmtId="0" fontId="11" fillId="0" borderId="46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2" fillId="0" borderId="34" xfId="58" applyFont="1" applyBorder="1" applyAlignment="1">
      <alignment horizontal="center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36" xfId="58" applyFont="1" applyBorder="1" applyAlignment="1">
      <alignment horizontal="center" vertical="center"/>
      <protection/>
    </xf>
    <xf numFmtId="3" fontId="11" fillId="0" borderId="24" xfId="58" applyNumberForma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21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39" xfId="58" applyNumberFormat="1" applyBorder="1" applyAlignment="1">
      <alignment vertical="center"/>
      <protection/>
    </xf>
    <xf numFmtId="3" fontId="11" fillId="0" borderId="40" xfId="58" applyNumberFormat="1" applyBorder="1" applyAlignment="1">
      <alignment vertical="center"/>
      <protection/>
    </xf>
    <xf numFmtId="3" fontId="13" fillId="0" borderId="26" xfId="58" applyNumberFormat="1" applyFont="1" applyBorder="1" applyAlignment="1">
      <alignment vertical="center"/>
      <protection/>
    </xf>
    <xf numFmtId="3" fontId="13" fillId="0" borderId="12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7" fillId="0" borderId="12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1" fillId="0" borderId="14" xfId="58" applyNumberFormat="1" applyFill="1" applyBorder="1" applyAlignment="1">
      <alignment vertical="center"/>
      <protection/>
    </xf>
    <xf numFmtId="3" fontId="11" fillId="0" borderId="24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9" xfId="58" applyNumberFormat="1" applyFont="1" applyBorder="1" applyAlignment="1">
      <alignment vertical="center"/>
      <protection/>
    </xf>
    <xf numFmtId="3" fontId="32" fillId="0" borderId="39" xfId="58" applyNumberFormat="1" applyFon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1" xfId="58" applyNumberFormat="1" applyFill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32" fillId="0" borderId="12" xfId="58" applyNumberFormat="1" applyFont="1" applyBorder="1" applyAlignment="1">
      <alignment vertical="center"/>
      <protection/>
    </xf>
    <xf numFmtId="3" fontId="32" fillId="0" borderId="13" xfId="58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Continuous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49" fontId="0" fillId="0" borderId="55" xfId="0" applyNumberFormat="1" applyFont="1" applyBorder="1" applyAlignment="1">
      <alignment horizontal="left"/>
    </xf>
    <xf numFmtId="0" fontId="16" fillId="33" borderId="53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43" fillId="0" borderId="49" xfId="0" applyFont="1" applyFill="1" applyBorder="1" applyAlignment="1" applyProtection="1">
      <alignment horizontal="center" vertical="center" wrapText="1"/>
      <protection/>
    </xf>
    <xf numFmtId="0" fontId="43" fillId="0" borderId="48" xfId="0" applyFont="1" applyFill="1" applyBorder="1" applyAlignment="1" applyProtection="1">
      <alignment horizontal="center" vertical="center" wrapTex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0" fontId="39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6" xfId="0" applyNumberFormat="1" applyFont="1" applyFill="1" applyBorder="1" applyAlignment="1" applyProtection="1">
      <alignment horizontal="center" vertical="center" wrapText="1"/>
      <protection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53" xfId="60" applyFont="1" applyFill="1" applyBorder="1" applyAlignment="1" applyProtection="1">
      <alignment horizontal="left" vertical="center" wrapText="1" indent="1"/>
      <protection/>
    </xf>
    <xf numFmtId="0" fontId="39" fillId="0" borderId="61" xfId="60" applyFont="1" applyFill="1" applyBorder="1" applyAlignment="1" applyProtection="1">
      <alignment horizontal="left" vertical="center" wrapText="1" indent="1"/>
      <protection/>
    </xf>
    <xf numFmtId="0" fontId="39" fillId="0" borderId="58" xfId="60" applyFont="1" applyFill="1" applyBorder="1" applyAlignment="1" applyProtection="1">
      <alignment horizontal="left" vertical="center" wrapText="1" indent="1"/>
      <protection/>
    </xf>
    <xf numFmtId="0" fontId="47" fillId="0" borderId="53" xfId="60" applyFont="1" applyFill="1" applyBorder="1" applyAlignment="1" applyProtection="1">
      <alignment horizontal="left" vertical="center" wrapText="1" indent="1"/>
      <protection/>
    </xf>
    <xf numFmtId="0" fontId="47" fillId="0" borderId="34" xfId="60" applyFont="1" applyFill="1" applyBorder="1" applyAlignment="1" applyProtection="1">
      <alignment horizontal="left" vertical="center" wrapText="1" indent="1"/>
      <protection/>
    </xf>
    <xf numFmtId="0" fontId="43" fillId="0" borderId="53" xfId="0" applyFont="1" applyFill="1" applyBorder="1" applyAlignment="1" applyProtection="1">
      <alignment horizontal="left" vertical="center" wrapText="1" indent="1"/>
      <protection/>
    </xf>
    <xf numFmtId="0" fontId="27" fillId="0" borderId="34" xfId="0" applyFont="1" applyFill="1" applyBorder="1" applyAlignment="1" applyProtection="1">
      <alignment vertical="center" wrapText="1"/>
      <protection/>
    </xf>
    <xf numFmtId="167" fontId="3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42" xfId="0" applyFont="1" applyFill="1" applyBorder="1" applyAlignment="1" applyProtection="1">
      <alignment horizontal="center" vertical="center" wrapText="1"/>
      <protection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10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7" xfId="0" applyFill="1" applyBorder="1" applyAlignment="1" applyProtection="1">
      <alignment horizontal="right" vertical="center" wrapText="1" indent="1"/>
      <protection/>
    </xf>
    <xf numFmtId="0" fontId="0" fillId="0" borderId="27" xfId="0" applyFill="1" applyBorder="1" applyAlignment="1" applyProtection="1">
      <alignment horizontal="right" vertical="center" wrapText="1" indent="1"/>
      <protection/>
    </xf>
    <xf numFmtId="0" fontId="0" fillId="0" borderId="27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63" xfId="0" applyFont="1" applyFill="1" applyBorder="1" applyAlignment="1" applyProtection="1">
      <alignment horizontal="center" vertical="center" wrapText="1"/>
      <protection/>
    </xf>
    <xf numFmtId="0" fontId="47" fillId="0" borderId="53" xfId="0" applyFont="1" applyFill="1" applyBorder="1" applyAlignment="1" applyProtection="1">
      <alignment horizontal="left" vertical="center" wrapText="1" indent="1"/>
      <protection/>
    </xf>
    <xf numFmtId="0" fontId="39" fillId="0" borderId="64" xfId="60" applyFont="1" applyFill="1" applyBorder="1" applyAlignment="1" applyProtection="1">
      <alignment horizontal="left" vertical="center" wrapText="1" indent="1"/>
      <protection/>
    </xf>
    <xf numFmtId="0" fontId="39" fillId="0" borderId="65" xfId="60" applyFont="1" applyFill="1" applyBorder="1" applyAlignment="1" applyProtection="1">
      <alignment horizontal="left" vertical="center" wrapText="1" indent="1"/>
      <protection/>
    </xf>
    <xf numFmtId="0" fontId="47" fillId="0" borderId="63" xfId="60" applyFont="1" applyFill="1" applyBorder="1" applyAlignment="1" applyProtection="1">
      <alignment horizontal="left" vertical="center" wrapText="1" indent="1"/>
      <protection/>
    </xf>
    <xf numFmtId="0" fontId="39" fillId="0" borderId="66" xfId="60" applyFont="1" applyFill="1" applyBorder="1" applyAlignment="1" applyProtection="1">
      <alignment horizontal="left" vertical="center" wrapText="1" indent="1"/>
      <protection/>
    </xf>
    <xf numFmtId="0" fontId="44" fillId="0" borderId="34" xfId="0" applyFont="1" applyBorder="1" applyAlignment="1" applyProtection="1">
      <alignment horizontal="left" wrapText="1" indent="1"/>
      <protection/>
    </xf>
    <xf numFmtId="0" fontId="47" fillId="0" borderId="45" xfId="0" applyFont="1" applyFill="1" applyBorder="1" applyAlignment="1" applyProtection="1">
      <alignment horizontal="center" vertical="center" wrapText="1"/>
      <protection/>
    </xf>
    <xf numFmtId="167" fontId="43" fillId="0" borderId="67" xfId="0" applyNumberFormat="1" applyFont="1" applyFill="1" applyBorder="1" applyAlignment="1" applyProtection="1">
      <alignment horizontal="center" vertical="center" wrapText="1"/>
      <protection/>
    </xf>
    <xf numFmtId="10" fontId="39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27" xfId="0" applyNumberFormat="1" applyFont="1" applyFill="1" applyBorder="1" applyAlignment="1" applyProtection="1">
      <alignment horizontal="center" vertical="center" wrapText="1"/>
      <protection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right" vertical="center" wrapText="1" indent="1"/>
      <protection/>
    </xf>
    <xf numFmtId="0" fontId="0" fillId="0" borderId="27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7" fillId="0" borderId="45" xfId="0" applyFont="1" applyFill="1" applyBorder="1" applyAlignment="1">
      <alignment vertical="center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0" xfId="0" applyFont="1" applyFill="1" applyBorder="1" applyAlignment="1" applyProtection="1">
      <alignment horizontal="right" vertical="center" wrapText="1" indent="1"/>
      <protection/>
    </xf>
    <xf numFmtId="3" fontId="2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33" borderId="71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3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3" fontId="15" fillId="0" borderId="19" xfId="58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2" fillId="0" borderId="12" xfId="58" applyNumberFormat="1" applyFont="1" applyFill="1" applyBorder="1" applyAlignment="1">
      <alignment horizontal="right" vertical="center"/>
      <protection/>
    </xf>
    <xf numFmtId="10" fontId="15" fillId="0" borderId="22" xfId="58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vertical="center"/>
    </xf>
    <xf numFmtId="3" fontId="15" fillId="0" borderId="19" xfId="58" applyNumberFormat="1" applyFont="1" applyFill="1" applyBorder="1" applyAlignment="1">
      <alignment vertical="center"/>
      <protection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2" fillId="0" borderId="12" xfId="58" applyNumberFormat="1" applyFont="1" applyBorder="1" applyAlignment="1">
      <alignment horizontal="right" vertical="center"/>
      <protection/>
    </xf>
    <xf numFmtId="3" fontId="15" fillId="0" borderId="14" xfId="58" applyNumberFormat="1" applyFont="1" applyBorder="1" applyAlignment="1">
      <alignment vertical="center"/>
      <protection/>
    </xf>
    <xf numFmtId="3" fontId="15" fillId="0" borderId="19" xfId="58" applyNumberFormat="1" applyFont="1" applyBorder="1" applyAlignment="1">
      <alignment vertical="center"/>
      <protection/>
    </xf>
    <xf numFmtId="0" fontId="11" fillId="0" borderId="47" xfId="58" applyFont="1" applyBorder="1">
      <alignment/>
      <protection/>
    </xf>
    <xf numFmtId="0" fontId="11" fillId="0" borderId="47" xfId="58" applyFont="1" applyFill="1" applyBorder="1">
      <alignment/>
      <protection/>
    </xf>
    <xf numFmtId="0" fontId="12" fillId="1" borderId="17" xfId="58" applyFont="1" applyFill="1" applyBorder="1" applyAlignment="1">
      <alignment horizontal="center" vertical="center" wrapText="1"/>
      <protection/>
    </xf>
    <xf numFmtId="0" fontId="7" fillId="0" borderId="30" xfId="0" applyFont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6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63" fillId="0" borderId="0" xfId="57" applyFont="1" applyFill="1" applyBorder="1" applyAlignment="1" applyProtection="1">
      <alignment horizontal="center" vertical="center"/>
      <protection/>
    </xf>
    <xf numFmtId="0" fontId="44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59" fillId="0" borderId="19" xfId="57" applyFont="1" applyBorder="1">
      <alignment/>
      <protection/>
    </xf>
    <xf numFmtId="0" fontId="52" fillId="0" borderId="0" xfId="57" applyFont="1" applyFill="1" applyAlignment="1">
      <alignment vertical="center"/>
      <protection/>
    </xf>
    <xf numFmtId="0" fontId="1" fillId="0" borderId="19" xfId="57" applyBorder="1">
      <alignment/>
      <protection/>
    </xf>
    <xf numFmtId="0" fontId="1" fillId="0" borderId="19" xfId="57" applyFont="1" applyBorder="1">
      <alignment/>
      <protection/>
    </xf>
    <xf numFmtId="0" fontId="59" fillId="0" borderId="18" xfId="57" applyFont="1" applyBorder="1">
      <alignment/>
      <protection/>
    </xf>
    <xf numFmtId="0" fontId="59" fillId="0" borderId="32" xfId="57" applyFont="1" applyBorder="1">
      <alignment/>
      <protection/>
    </xf>
    <xf numFmtId="0" fontId="59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59" fillId="0" borderId="16" xfId="57" applyFont="1" applyBorder="1">
      <alignment/>
      <protection/>
    </xf>
    <xf numFmtId="0" fontId="59" fillId="0" borderId="11" xfId="57" applyFont="1" applyFill="1" applyBorder="1" applyAlignment="1">
      <alignment vertical="center"/>
      <protection/>
    </xf>
    <xf numFmtId="0" fontId="59" fillId="0" borderId="47" xfId="57" applyFont="1" applyFill="1" applyBorder="1">
      <alignment/>
      <protection/>
    </xf>
    <xf numFmtId="0" fontId="59" fillId="0" borderId="0" xfId="57" applyFont="1" applyFill="1">
      <alignment/>
      <protection/>
    </xf>
    <xf numFmtId="0" fontId="59" fillId="0" borderId="0" xfId="57" applyFont="1" applyFill="1" applyAlignment="1">
      <alignment vertical="center"/>
      <protection/>
    </xf>
    <xf numFmtId="0" fontId="59" fillId="0" borderId="11" xfId="57" applyFont="1" applyFill="1" applyBorder="1">
      <alignment/>
      <protection/>
    </xf>
    <xf numFmtId="0" fontId="64" fillId="0" borderId="55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44" fillId="0" borderId="13" xfId="57" applyFont="1" applyFill="1" applyBorder="1" applyAlignment="1" applyProtection="1">
      <alignment horizontal="center" vertical="center" wrapText="1"/>
      <protection/>
    </xf>
    <xf numFmtId="3" fontId="59" fillId="0" borderId="17" xfId="57" applyNumberFormat="1" applyFont="1" applyBorder="1" applyAlignment="1">
      <alignment horizontal="right"/>
      <protection/>
    </xf>
    <xf numFmtId="3" fontId="1" fillId="0" borderId="21" xfId="57" applyNumberFormat="1" applyFont="1" applyBorder="1" applyAlignment="1">
      <alignment horizontal="right"/>
      <protection/>
    </xf>
    <xf numFmtId="3" fontId="59" fillId="0" borderId="21" xfId="57" applyNumberFormat="1" applyFont="1" applyBorder="1" applyAlignment="1">
      <alignment horizontal="right"/>
      <protection/>
    </xf>
    <xf numFmtId="3" fontId="59" fillId="0" borderId="13" xfId="57" applyNumberFormat="1" applyFont="1" applyBorder="1" applyAlignment="1">
      <alignment horizontal="right" vertical="center"/>
      <protection/>
    </xf>
    <xf numFmtId="3" fontId="59" fillId="0" borderId="13" xfId="57" applyNumberFormat="1" applyFont="1" applyFill="1" applyBorder="1" applyAlignment="1">
      <alignment vertical="center"/>
      <protection/>
    </xf>
    <xf numFmtId="3" fontId="59" fillId="0" borderId="17" xfId="57" applyNumberFormat="1" applyFont="1" applyFill="1" applyBorder="1">
      <alignment/>
      <protection/>
    </xf>
    <xf numFmtId="3" fontId="1" fillId="0" borderId="21" xfId="57" applyNumberFormat="1" applyFont="1" applyFill="1" applyBorder="1">
      <alignment/>
      <protection/>
    </xf>
    <xf numFmtId="3" fontId="59" fillId="0" borderId="13" xfId="57" applyNumberFormat="1" applyFont="1" applyFill="1" applyBorder="1">
      <alignment/>
      <protection/>
    </xf>
    <xf numFmtId="3" fontId="59" fillId="0" borderId="21" xfId="57" applyNumberFormat="1" applyFont="1" applyBorder="1">
      <alignment/>
      <protection/>
    </xf>
    <xf numFmtId="3" fontId="59" fillId="0" borderId="25" xfId="57" applyNumberFormat="1" applyFont="1" applyBorder="1">
      <alignment/>
      <protection/>
    </xf>
    <xf numFmtId="3" fontId="64" fillId="0" borderId="23" xfId="57" applyNumberFormat="1" applyFont="1" applyBorder="1" applyAlignment="1">
      <alignment vertical="center"/>
      <protection/>
    </xf>
    <xf numFmtId="167" fontId="47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49" fontId="39" fillId="0" borderId="27" xfId="60" applyNumberFormat="1" applyFont="1" applyFill="1" applyBorder="1" applyAlignment="1" applyProtection="1">
      <alignment horizontal="left" vertical="center" wrapText="1" indent="1"/>
      <protection/>
    </xf>
    <xf numFmtId="167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2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1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0" xfId="0" applyNumberFormat="1" applyFont="1" applyFill="1" applyBorder="1" applyAlignment="1">
      <alignment vertical="center"/>
    </xf>
    <xf numFmtId="0" fontId="59" fillId="0" borderId="19" xfId="57" applyFont="1" applyFill="1" applyBorder="1">
      <alignment/>
      <protection/>
    </xf>
    <xf numFmtId="3" fontId="59" fillId="0" borderId="21" xfId="57" applyNumberFormat="1" applyFont="1" applyFill="1" applyBorder="1">
      <alignment/>
      <protection/>
    </xf>
    <xf numFmtId="0" fontId="1" fillId="0" borderId="18" xfId="57" applyFont="1" applyFill="1" applyBorder="1">
      <alignment/>
      <protection/>
    </xf>
    <xf numFmtId="0" fontId="59" fillId="0" borderId="55" xfId="57" applyFont="1" applyFill="1" applyBorder="1">
      <alignment/>
      <protection/>
    </xf>
    <xf numFmtId="3" fontId="59" fillId="0" borderId="23" xfId="57" applyNumberFormat="1" applyFont="1" applyFill="1" applyBorder="1">
      <alignment/>
      <protection/>
    </xf>
    <xf numFmtId="3" fontId="59" fillId="0" borderId="23" xfId="57" applyNumberFormat="1" applyFont="1" applyBorder="1" applyAlignment="1">
      <alignment horizontal="right"/>
      <protection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0" fontId="15" fillId="0" borderId="19" xfId="58" applyFont="1" applyFill="1" applyBorder="1" applyAlignment="1">
      <alignment horizontal="right" wrapText="1"/>
      <protection/>
    </xf>
    <xf numFmtId="0" fontId="6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66" fillId="0" borderId="0" xfId="58" applyFont="1" applyAlignment="1">
      <alignment horizontal="center"/>
      <protection/>
    </xf>
    <xf numFmtId="0" fontId="6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9">
      <alignment/>
      <protection/>
    </xf>
    <xf numFmtId="0" fontId="65" fillId="0" borderId="0" xfId="58" applyFont="1">
      <alignment/>
      <protection/>
    </xf>
    <xf numFmtId="3" fontId="11" fillId="0" borderId="0" xfId="58" applyNumberFormat="1">
      <alignment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1" fillId="0" borderId="47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37" xfId="58" applyFont="1" applyBorder="1" applyAlignment="1">
      <alignment horizontal="center" vertical="center" wrapText="1"/>
      <protection/>
    </xf>
    <xf numFmtId="166" fontId="68" fillId="0" borderId="60" xfId="59" applyNumberFormat="1" applyFont="1" applyBorder="1" applyAlignment="1">
      <alignment horizontal="center" vertical="center" wrapText="1"/>
      <protection/>
    </xf>
    <xf numFmtId="3" fontId="68" fillId="0" borderId="42" xfId="59" applyNumberFormat="1" applyFont="1" applyBorder="1" applyAlignment="1">
      <alignment horizontal="center" vertical="center" wrapText="1"/>
      <protection/>
    </xf>
    <xf numFmtId="3" fontId="68" fillId="0" borderId="35" xfId="59" applyNumberFormat="1" applyFont="1" applyBorder="1" applyAlignment="1">
      <alignment horizontal="center" vertical="center" wrapText="1"/>
      <protection/>
    </xf>
    <xf numFmtId="3" fontId="68" fillId="0" borderId="48" xfId="59" applyNumberFormat="1" applyFont="1" applyBorder="1" applyAlignment="1">
      <alignment horizontal="center" vertical="center" wrapText="1"/>
      <protection/>
    </xf>
    <xf numFmtId="3" fontId="70" fillId="0" borderId="14" xfId="59" applyNumberFormat="1" applyFont="1" applyFill="1" applyBorder="1" applyAlignment="1">
      <alignment vertical="top"/>
      <protection/>
    </xf>
    <xf numFmtId="3" fontId="70" fillId="0" borderId="15" xfId="59" applyNumberFormat="1" applyFont="1" applyFill="1" applyBorder="1" applyAlignment="1">
      <alignment vertical="top"/>
      <protection/>
    </xf>
    <xf numFmtId="10" fontId="70" fillId="0" borderId="38" xfId="59" applyNumberFormat="1" applyFont="1" applyFill="1" applyBorder="1" applyAlignment="1">
      <alignment vertical="top"/>
      <protection/>
    </xf>
    <xf numFmtId="3" fontId="70" fillId="0" borderId="38" xfId="59" applyNumberFormat="1" applyFont="1" applyFill="1" applyBorder="1" applyAlignment="1">
      <alignment vertical="top"/>
      <protection/>
    </xf>
    <xf numFmtId="0" fontId="69" fillId="0" borderId="30" xfId="59" applyFont="1" applyFill="1" applyBorder="1" applyAlignment="1">
      <alignment horizontal="left"/>
      <protection/>
    </xf>
    <xf numFmtId="3" fontId="70" fillId="0" borderId="19" xfId="59" applyNumberFormat="1" applyFont="1" applyFill="1" applyBorder="1" applyAlignment="1">
      <alignment vertical="top"/>
      <protection/>
    </xf>
    <xf numFmtId="3" fontId="70" fillId="0" borderId="21" xfId="59" applyNumberFormat="1" applyFont="1" applyFill="1" applyBorder="1" applyAlignment="1">
      <alignment vertical="top"/>
      <protection/>
    </xf>
    <xf numFmtId="10" fontId="70" fillId="0" borderId="22" xfId="59" applyNumberFormat="1" applyFont="1" applyFill="1" applyBorder="1" applyAlignment="1">
      <alignment vertical="top"/>
      <protection/>
    </xf>
    <xf numFmtId="3" fontId="70" fillId="0" borderId="22" xfId="59" applyNumberFormat="1" applyFont="1" applyFill="1" applyBorder="1" applyAlignment="1">
      <alignment vertical="top"/>
      <protection/>
    </xf>
    <xf numFmtId="3" fontId="70" fillId="0" borderId="19" xfId="59" applyNumberFormat="1" applyFont="1" applyFill="1" applyBorder="1">
      <alignment/>
      <protection/>
    </xf>
    <xf numFmtId="3" fontId="70" fillId="0" borderId="21" xfId="59" applyNumberFormat="1" applyFont="1" applyFill="1" applyBorder="1">
      <alignment/>
      <protection/>
    </xf>
    <xf numFmtId="3" fontId="70" fillId="0" borderId="22" xfId="59" applyNumberFormat="1" applyFont="1" applyFill="1" applyBorder="1">
      <alignment/>
      <protection/>
    </xf>
    <xf numFmtId="0" fontId="11" fillId="0" borderId="20" xfId="58" applyFont="1" applyBorder="1" applyAlignment="1">
      <alignment horizontal="center" vertical="center"/>
      <protection/>
    </xf>
    <xf numFmtId="3" fontId="70" fillId="0" borderId="20" xfId="59" applyNumberFormat="1" applyFont="1" applyFill="1" applyBorder="1">
      <alignment/>
      <protection/>
    </xf>
    <xf numFmtId="3" fontId="70" fillId="0" borderId="23" xfId="59" applyNumberFormat="1" applyFont="1" applyFill="1" applyBorder="1">
      <alignment/>
      <protection/>
    </xf>
    <xf numFmtId="3" fontId="70" fillId="0" borderId="43" xfId="59" applyNumberFormat="1" applyFont="1" applyFill="1" applyBorder="1">
      <alignment/>
      <protection/>
    </xf>
    <xf numFmtId="0" fontId="11" fillId="0" borderId="12" xfId="58" applyFont="1" applyBorder="1" applyAlignment="1">
      <alignment horizontal="center" vertical="center"/>
      <protection/>
    </xf>
    <xf numFmtId="3" fontId="71" fillId="0" borderId="12" xfId="59" applyNumberFormat="1" applyFont="1" applyBorder="1" applyAlignment="1">
      <alignment vertical="center"/>
      <protection/>
    </xf>
    <xf numFmtId="3" fontId="71" fillId="0" borderId="13" xfId="59" applyNumberFormat="1" applyFont="1" applyBorder="1" applyAlignment="1">
      <alignment vertical="center"/>
      <protection/>
    </xf>
    <xf numFmtId="10" fontId="71" fillId="0" borderId="36" xfId="59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73" fillId="0" borderId="0" xfId="58" applyFont="1" applyAlignment="1">
      <alignment vertical="center"/>
      <protection/>
    </xf>
    <xf numFmtId="0" fontId="74" fillId="0" borderId="47" xfId="58" applyFont="1" applyBorder="1" applyAlignment="1">
      <alignment vertical="center"/>
      <protection/>
    </xf>
    <xf numFmtId="0" fontId="24" fillId="34" borderId="27" xfId="58" applyFont="1" applyFill="1" applyBorder="1" applyAlignment="1">
      <alignment horizontal="center" vertical="center" wrapText="1"/>
      <protection/>
    </xf>
    <xf numFmtId="0" fontId="11" fillId="0" borderId="47" xfId="58" applyBorder="1" applyAlignment="1">
      <alignment vertical="center"/>
      <protection/>
    </xf>
    <xf numFmtId="0" fontId="24" fillId="34" borderId="32" xfId="58" applyFont="1" applyFill="1" applyBorder="1" applyAlignment="1">
      <alignment horizontal="center" vertical="center" wrapText="1"/>
      <protection/>
    </xf>
    <xf numFmtId="3" fontId="24" fillId="34" borderId="73" xfId="58" applyNumberFormat="1" applyFont="1" applyFill="1" applyBorder="1" applyAlignment="1">
      <alignment horizontal="center" vertical="center" wrapText="1"/>
      <protection/>
    </xf>
    <xf numFmtId="3" fontId="24" fillId="34" borderId="74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0" fontId="69" fillId="0" borderId="18" xfId="0" applyFont="1" applyBorder="1" applyAlignment="1">
      <alignment vertical="center" wrapText="1"/>
    </xf>
    <xf numFmtId="0" fontId="69" fillId="0" borderId="21" xfId="0" applyFont="1" applyBorder="1" applyAlignment="1">
      <alignment horizontal="center" vertical="center" wrapText="1"/>
    </xf>
    <xf numFmtId="3" fontId="31" fillId="0" borderId="21" xfId="58" applyNumberFormat="1" applyFont="1" applyBorder="1" applyAlignment="1">
      <alignment horizontal="right" vertical="center" wrapText="1"/>
      <protection/>
    </xf>
    <xf numFmtId="3" fontId="31" fillId="0" borderId="17" xfId="58" applyNumberFormat="1" applyFont="1" applyBorder="1" applyAlignment="1">
      <alignment horizontal="right" vertical="center" wrapText="1"/>
      <protection/>
    </xf>
    <xf numFmtId="10" fontId="31" fillId="0" borderId="17" xfId="58" applyNumberFormat="1" applyFont="1" applyBorder="1" applyAlignment="1">
      <alignment horizontal="right" vertical="center" wrapText="1"/>
      <protection/>
    </xf>
    <xf numFmtId="10" fontId="31" fillId="0" borderId="21" xfId="58" applyNumberFormat="1" applyFont="1" applyBorder="1" applyAlignment="1">
      <alignment horizontal="right" vertical="center" wrapText="1"/>
      <protection/>
    </xf>
    <xf numFmtId="10" fontId="31" fillId="0" borderId="22" xfId="58" applyNumberFormat="1" applyFont="1" applyBorder="1" applyAlignment="1">
      <alignment horizontal="right" vertical="center" wrapText="1"/>
      <protection/>
    </xf>
    <xf numFmtId="3" fontId="31" fillId="0" borderId="21" xfId="58" applyNumberFormat="1" applyFont="1" applyFill="1" applyBorder="1" applyAlignment="1">
      <alignment vertical="center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77" xfId="58" applyNumberFormat="1" applyFont="1" applyFill="1" applyBorder="1" applyAlignment="1">
      <alignment horizontal="center" vertical="center" wrapText="1"/>
      <protection/>
    </xf>
    <xf numFmtId="3" fontId="32" fillId="34" borderId="77" xfId="58" applyNumberFormat="1" applyFont="1" applyFill="1" applyBorder="1" applyAlignment="1">
      <alignment horizontal="right" vertical="center" wrapText="1"/>
      <protection/>
    </xf>
    <xf numFmtId="10" fontId="32" fillId="34" borderId="77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2" fillId="0" borderId="0" xfId="58" applyNumberFormat="1" applyFont="1" applyFill="1" applyBorder="1" applyAlignment="1">
      <alignment horizontal="right" vertical="center" wrapText="1"/>
      <protection/>
    </xf>
    <xf numFmtId="0" fontId="74" fillId="0" borderId="0" xfId="58" applyFont="1" applyAlignment="1">
      <alignment vertical="center"/>
      <protection/>
    </xf>
    <xf numFmtId="0" fontId="11" fillId="0" borderId="47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78" xfId="58" applyFont="1" applyFill="1" applyBorder="1" applyAlignment="1">
      <alignment horizontal="center" vertical="center" wrapText="1"/>
      <protection/>
    </xf>
    <xf numFmtId="0" fontId="24" fillId="34" borderId="74" xfId="58" applyFont="1" applyFill="1" applyBorder="1" applyAlignment="1">
      <alignment horizontal="center" vertical="center" wrapText="1"/>
      <protection/>
    </xf>
    <xf numFmtId="0" fontId="69" fillId="0" borderId="16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horizontal="center" vertical="center" wrapText="1"/>
    </xf>
    <xf numFmtId="3" fontId="31" fillId="0" borderId="17" xfId="58" applyNumberFormat="1" applyFont="1" applyFill="1" applyBorder="1" applyAlignment="1">
      <alignment horizontal="right" vertical="center" wrapText="1"/>
      <protection/>
    </xf>
    <xf numFmtId="3" fontId="31" fillId="0" borderId="21" xfId="58" applyNumberFormat="1" applyFont="1" applyFill="1" applyBorder="1" applyAlignment="1">
      <alignment horizontal="right" vertical="center" wrapText="1"/>
      <protection/>
    </xf>
    <xf numFmtId="0" fontId="69" fillId="0" borderId="18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vertical="center" wrapText="1"/>
    </xf>
    <xf numFmtId="0" fontId="69" fillId="0" borderId="25" xfId="0" applyFont="1" applyFill="1" applyBorder="1" applyAlignment="1">
      <alignment horizontal="center" vertical="center" wrapText="1"/>
    </xf>
    <xf numFmtId="3" fontId="31" fillId="0" borderId="25" xfId="58" applyNumberFormat="1" applyFont="1" applyFill="1" applyBorder="1" applyAlignment="1">
      <alignment horizontal="right" vertical="center" wrapText="1"/>
      <protection/>
    </xf>
    <xf numFmtId="0" fontId="69" fillId="0" borderId="47" xfId="0" applyFont="1" applyFill="1" applyBorder="1" applyAlignment="1">
      <alignment vertical="center" wrapText="1"/>
    </xf>
    <xf numFmtId="0" fontId="69" fillId="0" borderId="27" xfId="0" applyFont="1" applyFill="1" applyBorder="1" applyAlignment="1">
      <alignment horizontal="center" vertical="center" wrapText="1"/>
    </xf>
    <xf numFmtId="3" fontId="31" fillId="0" borderId="27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28" fillId="0" borderId="0" xfId="60" applyFont="1" applyFill="1" applyAlignment="1">
      <alignment vertical="center"/>
      <protection/>
    </xf>
    <xf numFmtId="167" fontId="26" fillId="0" borderId="0" xfId="60" applyNumberFormat="1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40" fillId="0" borderId="14" xfId="60" applyFont="1" applyFill="1" applyBorder="1" applyAlignment="1" applyProtection="1">
      <alignment horizontal="center" vertical="center" wrapText="1"/>
      <protection/>
    </xf>
    <xf numFmtId="0" fontId="40" fillId="0" borderId="15" xfId="60" applyFont="1" applyFill="1" applyBorder="1" applyAlignment="1" applyProtection="1">
      <alignment horizontal="center" vertical="center" wrapText="1"/>
      <protection/>
    </xf>
    <xf numFmtId="0" fontId="40" fillId="0" borderId="38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/>
      <protection/>
    </xf>
    <xf numFmtId="0" fontId="29" fillId="0" borderId="13" xfId="60" applyFont="1" applyFill="1" applyBorder="1" applyAlignment="1" applyProtection="1">
      <alignment horizontal="center" vertical="center"/>
      <protection/>
    </xf>
    <xf numFmtId="0" fontId="29" fillId="0" borderId="36" xfId="60" applyFont="1" applyFill="1" applyBorder="1" applyAlignment="1" applyProtection="1">
      <alignment horizontal="center" vertical="center"/>
      <protection/>
    </xf>
    <xf numFmtId="0" fontId="29" fillId="0" borderId="14" xfId="60" applyFont="1" applyFill="1" applyBorder="1" applyAlignment="1" applyProtection="1">
      <alignment horizontal="center" vertical="center"/>
      <protection/>
    </xf>
    <xf numFmtId="0" fontId="29" fillId="0" borderId="17" xfId="60" applyFont="1" applyFill="1" applyBorder="1" applyAlignment="1" applyProtection="1">
      <alignment vertical="center"/>
      <protection/>
    </xf>
    <xf numFmtId="168" fontId="29" fillId="0" borderId="38" xfId="40" applyNumberFormat="1" applyFont="1" applyFill="1" applyBorder="1" applyAlignment="1" applyProtection="1">
      <alignment vertical="center"/>
      <protection locked="0"/>
    </xf>
    <xf numFmtId="0" fontId="29" fillId="0" borderId="24" xfId="60" applyFont="1" applyFill="1" applyBorder="1" applyAlignment="1" applyProtection="1">
      <alignment horizontal="center" vertical="center"/>
      <protection/>
    </xf>
    <xf numFmtId="168" fontId="29" fillId="0" borderId="50" xfId="40" applyNumberFormat="1" applyFont="1" applyFill="1" applyBorder="1" applyAlignment="1" applyProtection="1">
      <alignment vertical="center"/>
      <protection locked="0"/>
    </xf>
    <xf numFmtId="0" fontId="29" fillId="0" borderId="19" xfId="60" applyFont="1" applyFill="1" applyBorder="1" applyAlignment="1" applyProtection="1">
      <alignment horizontal="center" vertical="center"/>
      <protection/>
    </xf>
    <xf numFmtId="0" fontId="70" fillId="0" borderId="21" xfId="0" applyFont="1" applyFill="1" applyBorder="1" applyAlignment="1">
      <alignment horizontal="justify" vertical="center" wrapText="1"/>
    </xf>
    <xf numFmtId="168" fontId="29" fillId="0" borderId="22" xfId="40" applyNumberFormat="1" applyFont="1" applyFill="1" applyBorder="1" applyAlignment="1" applyProtection="1">
      <alignment vertical="center"/>
      <protection locked="0"/>
    </xf>
    <xf numFmtId="0" fontId="70" fillId="0" borderId="21" xfId="0" applyFont="1" applyFill="1" applyBorder="1" applyAlignment="1">
      <alignment vertical="center" wrapText="1"/>
    </xf>
    <xf numFmtId="168" fontId="29" fillId="0" borderId="51" xfId="40" applyNumberFormat="1" applyFont="1" applyFill="1" applyBorder="1" applyAlignment="1" applyProtection="1">
      <alignment vertical="center"/>
      <protection locked="0"/>
    </xf>
    <xf numFmtId="168" fontId="40" fillId="0" borderId="36" xfId="40" applyNumberFormat="1" applyFont="1" applyFill="1" applyBorder="1" applyAlignment="1" applyProtection="1">
      <alignment vertical="center"/>
      <protection/>
    </xf>
    <xf numFmtId="0" fontId="39" fillId="0" borderId="0" xfId="60" applyFont="1" applyFill="1" applyBorder="1" applyAlignment="1">
      <alignment horizontal="justify" vertical="center" wrapText="1"/>
      <protection/>
    </xf>
    <xf numFmtId="10" fontId="29" fillId="0" borderId="38" xfId="40" applyNumberFormat="1" applyFont="1" applyFill="1" applyBorder="1" applyAlignment="1" applyProtection="1">
      <alignment vertical="center"/>
      <protection locked="0"/>
    </xf>
    <xf numFmtId="10" fontId="29" fillId="0" borderId="50" xfId="40" applyNumberFormat="1" applyFont="1" applyFill="1" applyBorder="1" applyAlignment="1" applyProtection="1">
      <alignment vertical="center"/>
      <protection locked="0"/>
    </xf>
    <xf numFmtId="10" fontId="29" fillId="0" borderId="22" xfId="40" applyNumberFormat="1" applyFont="1" applyFill="1" applyBorder="1" applyAlignment="1" applyProtection="1">
      <alignment vertical="center"/>
      <protection locked="0"/>
    </xf>
    <xf numFmtId="10" fontId="29" fillId="0" borderId="51" xfId="40" applyNumberFormat="1" applyFont="1" applyFill="1" applyBorder="1" applyAlignment="1" applyProtection="1">
      <alignment vertical="center"/>
      <protection locked="0"/>
    </xf>
    <xf numFmtId="10" fontId="40" fillId="0" borderId="36" xfId="40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13" xfId="0" applyNumberFormat="1" applyFont="1" applyFill="1" applyBorder="1" applyAlignment="1">
      <alignment vertical="center"/>
    </xf>
    <xf numFmtId="10" fontId="7" fillId="0" borderId="17" xfId="0" applyNumberFormat="1" applyFont="1" applyFill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33" fillId="0" borderId="13" xfId="0" applyNumberFormat="1" applyFont="1" applyFill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horizontal="right" vertical="center"/>
    </xf>
    <xf numFmtId="10" fontId="7" fillId="0" borderId="43" xfId="0" applyNumberFormat="1" applyFont="1" applyFill="1" applyBorder="1" applyAlignment="1">
      <alignment horizontal="right" vertical="center"/>
    </xf>
    <xf numFmtId="10" fontId="4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36" xfId="0" applyNumberFormat="1" applyFont="1" applyFill="1" applyBorder="1" applyAlignment="1">
      <alignment horizontal="right" vertical="center" wrapText="1"/>
    </xf>
    <xf numFmtId="10" fontId="3" fillId="33" borderId="36" xfId="0" applyNumberFormat="1" applyFont="1" applyFill="1" applyBorder="1" applyAlignment="1">
      <alignment horizontal="right" vertical="center" wrapText="1"/>
    </xf>
    <xf numFmtId="10" fontId="7" fillId="33" borderId="38" xfId="0" applyNumberFormat="1" applyFont="1" applyFill="1" applyBorder="1" applyAlignment="1">
      <alignment horizontal="right" vertical="center" wrapText="1"/>
    </xf>
    <xf numFmtId="10" fontId="7" fillId="33" borderId="22" xfId="0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center" wrapText="1"/>
    </xf>
    <xf numFmtId="10" fontId="7" fillId="0" borderId="43" xfId="0" applyNumberFormat="1" applyFont="1" applyFill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 wrapText="1"/>
    </xf>
    <xf numFmtId="10" fontId="3" fillId="0" borderId="36" xfId="0" applyNumberFormat="1" applyFont="1" applyFill="1" applyBorder="1" applyAlignment="1">
      <alignment horizontal="right" vertical="center"/>
    </xf>
    <xf numFmtId="10" fontId="3" fillId="0" borderId="38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right" vertical="center"/>
    </xf>
    <xf numFmtId="10" fontId="3" fillId="0" borderId="43" xfId="0" applyNumberFormat="1" applyFont="1" applyFill="1" applyBorder="1" applyAlignment="1">
      <alignment horizontal="right"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vertical="center"/>
    </xf>
    <xf numFmtId="10" fontId="3" fillId="0" borderId="36" xfId="0" applyNumberFormat="1" applyFont="1" applyFill="1" applyBorder="1" applyAlignment="1">
      <alignment vertical="center"/>
    </xf>
    <xf numFmtId="10" fontId="3" fillId="0" borderId="50" xfId="0" applyNumberFormat="1" applyFont="1" applyFill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3" fillId="0" borderId="36" xfId="0" applyNumberFormat="1" applyFont="1" applyBorder="1" applyAlignment="1">
      <alignment vertical="center"/>
    </xf>
    <xf numFmtId="10" fontId="3" fillId="0" borderId="44" xfId="0" applyNumberFormat="1" applyFont="1" applyFill="1" applyBorder="1" applyAlignment="1">
      <alignment horizontal="centerContinuous" vertical="center" wrapText="1"/>
    </xf>
    <xf numFmtId="10" fontId="7" fillId="0" borderId="50" xfId="0" applyNumberFormat="1" applyFont="1" applyFill="1" applyBorder="1" applyAlignment="1">
      <alignment vertical="center"/>
    </xf>
    <xf numFmtId="10" fontId="33" fillId="0" borderId="36" xfId="0" applyNumberFormat="1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0" fontId="7" fillId="0" borderId="51" xfId="0" applyNumberFormat="1" applyFont="1" applyBorder="1" applyAlignment="1">
      <alignment vertical="center"/>
    </xf>
    <xf numFmtId="10" fontId="3" fillId="0" borderId="48" xfId="0" applyNumberFormat="1" applyFont="1" applyBorder="1" applyAlignment="1">
      <alignment vertical="center"/>
    </xf>
    <xf numFmtId="167" fontId="3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ill="1" applyBorder="1" applyAlignment="1" applyProtection="1">
      <alignment horizontal="right" vertical="center" wrapText="1" indent="1"/>
      <protection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44" xfId="0" applyFont="1" applyFill="1" applyBorder="1" applyAlignment="1" applyProtection="1">
      <alignment horizontal="center" vertical="center" wrapText="1"/>
      <protection/>
    </xf>
    <xf numFmtId="167" fontId="43" fillId="0" borderId="82" xfId="0" applyNumberFormat="1" applyFont="1" applyFill="1" applyBorder="1" applyAlignment="1" applyProtection="1">
      <alignment horizontal="center" vertical="center" wrapText="1"/>
      <protection/>
    </xf>
    <xf numFmtId="167" fontId="3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 applyProtection="1">
      <alignment horizontal="right" vertical="center" wrapText="1" indent="1"/>
      <protection/>
    </xf>
    <xf numFmtId="167" fontId="43" fillId="0" borderId="52" xfId="0" applyNumberFormat="1" applyFont="1" applyFill="1" applyBorder="1" applyAlignment="1" applyProtection="1">
      <alignment horizontal="center" vertical="center" wrapText="1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 wrapText="1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8" xfId="58" applyNumberFormat="1" applyFont="1" applyFill="1" applyBorder="1" applyAlignment="1">
      <alignment horizontal="center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2" fillId="0" borderId="36" xfId="58" applyNumberFormat="1" applyFont="1" applyFill="1" applyBorder="1" applyAlignment="1">
      <alignment horizontal="right" vertical="center"/>
      <protection/>
    </xf>
    <xf numFmtId="3" fontId="15" fillId="0" borderId="21" xfId="58" applyNumberFormat="1" applyFont="1" applyFill="1" applyBorder="1" applyAlignment="1">
      <alignment vertical="center"/>
      <protection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0" fontId="6" fillId="1" borderId="34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1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3" xfId="58" applyFont="1" applyBorder="1" applyAlignment="1">
      <alignment vertical="center"/>
      <protection/>
    </xf>
    <xf numFmtId="0" fontId="6" fillId="1" borderId="12" xfId="58" applyFont="1" applyFill="1" applyBorder="1" applyAlignment="1">
      <alignment horizontal="center" vertical="center" wrapText="1"/>
      <protection/>
    </xf>
    <xf numFmtId="3" fontId="7" fillId="0" borderId="14" xfId="58" applyNumberFormat="1" applyFont="1" applyFill="1" applyBorder="1" applyAlignment="1">
      <alignment horizontal="right" vertical="center"/>
      <protection/>
    </xf>
    <xf numFmtId="3" fontId="7" fillId="0" borderId="24" xfId="58" applyNumberFormat="1" applyFont="1" applyBorder="1" applyAlignment="1">
      <alignment horizontal="right" vertical="center"/>
      <protection/>
    </xf>
    <xf numFmtId="3" fontId="7" fillId="0" borderId="19" xfId="58" applyNumberFormat="1" applyFont="1" applyBorder="1" applyAlignment="1">
      <alignment horizontal="right" vertical="center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3" fillId="0" borderId="12" xfId="58" applyNumberFormat="1" applyFont="1" applyBorder="1" applyAlignment="1">
      <alignment vertical="center"/>
      <protection/>
    </xf>
    <xf numFmtId="10" fontId="70" fillId="0" borderId="43" xfId="59" applyNumberFormat="1" applyFont="1" applyFill="1" applyBorder="1" applyAlignment="1">
      <alignment vertical="top"/>
      <protection/>
    </xf>
    <xf numFmtId="10" fontId="35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6" xfId="40" applyNumberFormat="1" applyFont="1" applyBorder="1" applyAlignment="1">
      <alignment horizontal="right" vertical="center"/>
    </xf>
    <xf numFmtId="3" fontId="18" fillId="0" borderId="86" xfId="58" applyNumberFormat="1" applyFont="1" applyBorder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10" fontId="18" fillId="0" borderId="43" xfId="58" applyNumberFormat="1" applyFont="1" applyFill="1" applyBorder="1" applyAlignment="1">
      <alignment horizontal="right"/>
      <protection/>
    </xf>
    <xf numFmtId="3" fontId="1" fillId="0" borderId="25" xfId="57" applyNumberFormat="1" applyFont="1" applyBorder="1">
      <alignment/>
      <protection/>
    </xf>
    <xf numFmtId="3" fontId="29" fillId="0" borderId="0" xfId="61" applyNumberFormat="1" applyFill="1" applyProtection="1">
      <alignment/>
      <protection/>
    </xf>
    <xf numFmtId="3" fontId="29" fillId="0" borderId="0" xfId="61" applyNumberFormat="1" applyFill="1" applyAlignment="1" applyProtection="1">
      <alignment wrapText="1"/>
      <protection locked="0"/>
    </xf>
    <xf numFmtId="3" fontId="29" fillId="0" borderId="0" xfId="61" applyNumberFormat="1" applyFill="1" applyProtection="1">
      <alignment/>
      <protection locked="0"/>
    </xf>
    <xf numFmtId="3" fontId="30" fillId="0" borderId="0" xfId="57" applyNumberFormat="1" applyFont="1" applyFill="1" applyAlignment="1">
      <alignment horizontal="right"/>
      <protection/>
    </xf>
    <xf numFmtId="3" fontId="43" fillId="0" borderId="42" xfId="61" applyNumberFormat="1" applyFont="1" applyFill="1" applyBorder="1" applyAlignment="1" applyProtection="1">
      <alignment horizontal="center" vertical="center" wrapText="1"/>
      <protection/>
    </xf>
    <xf numFmtId="3" fontId="43" fillId="0" borderId="35" xfId="61" applyNumberFormat="1" applyFont="1" applyFill="1" applyBorder="1" applyAlignment="1" applyProtection="1">
      <alignment horizontal="center" vertical="center" wrapText="1"/>
      <protection/>
    </xf>
    <xf numFmtId="3" fontId="43" fillId="0" borderId="35" xfId="61" applyNumberFormat="1" applyFont="1" applyFill="1" applyBorder="1" applyAlignment="1" applyProtection="1">
      <alignment horizontal="center" vertical="center"/>
      <protection/>
    </xf>
    <xf numFmtId="3" fontId="43" fillId="0" borderId="48" xfId="61" applyNumberFormat="1" applyFont="1" applyFill="1" applyBorder="1" applyAlignment="1" applyProtection="1">
      <alignment horizontal="center" vertical="center"/>
      <protection/>
    </xf>
    <xf numFmtId="3" fontId="39" fillId="0" borderId="12" xfId="61" applyNumberFormat="1" applyFont="1" applyFill="1" applyBorder="1" applyAlignment="1" applyProtection="1">
      <alignment horizontal="left" vertical="center" indent="1"/>
      <protection/>
    </xf>
    <xf numFmtId="3" fontId="29" fillId="0" borderId="0" xfId="61" applyNumberFormat="1" applyFill="1" applyAlignment="1" applyProtection="1">
      <alignment vertical="center"/>
      <protection/>
    </xf>
    <xf numFmtId="3" fontId="39" fillId="0" borderId="37" xfId="61" applyNumberFormat="1" applyFont="1" applyFill="1" applyBorder="1" applyAlignment="1" applyProtection="1">
      <alignment horizontal="left" vertical="center" indent="1"/>
      <protection/>
    </xf>
    <xf numFmtId="3" fontId="39" fillId="0" borderId="27" xfId="61" applyNumberFormat="1" applyFont="1" applyFill="1" applyBorder="1" applyAlignment="1" applyProtection="1">
      <alignment horizontal="left" vertical="center" wrapText="1"/>
      <protection/>
    </xf>
    <xf numFmtId="3" fontId="39" fillId="0" borderId="27" xfId="61" applyNumberFormat="1" applyFont="1" applyFill="1" applyBorder="1" applyAlignment="1" applyProtection="1">
      <alignment vertical="center"/>
      <protection locked="0"/>
    </xf>
    <xf numFmtId="3" fontId="39" fillId="0" borderId="52" xfId="61" applyNumberFormat="1" applyFont="1" applyFill="1" applyBorder="1" applyAlignment="1" applyProtection="1">
      <alignment vertical="center"/>
      <protection/>
    </xf>
    <xf numFmtId="3" fontId="39" fillId="0" borderId="19" xfId="61" applyNumberFormat="1" applyFont="1" applyFill="1" applyBorder="1" applyAlignment="1" applyProtection="1">
      <alignment horizontal="left" vertical="center" indent="1"/>
      <protection/>
    </xf>
    <xf numFmtId="3" fontId="39" fillId="0" borderId="21" xfId="61" applyNumberFormat="1" applyFont="1" applyFill="1" applyBorder="1" applyAlignment="1" applyProtection="1">
      <alignment horizontal="left" vertical="center" wrapText="1"/>
      <protection/>
    </xf>
    <xf numFmtId="3" fontId="39" fillId="0" borderId="21" xfId="61" applyNumberFormat="1" applyFont="1" applyFill="1" applyBorder="1" applyAlignment="1" applyProtection="1">
      <alignment vertical="center"/>
      <protection locked="0"/>
    </xf>
    <xf numFmtId="3" fontId="39" fillId="0" borderId="22" xfId="61" applyNumberFormat="1" applyFont="1" applyFill="1" applyBorder="1" applyAlignment="1" applyProtection="1">
      <alignment vertical="center"/>
      <protection/>
    </xf>
    <xf numFmtId="3" fontId="29" fillId="0" borderId="0" xfId="61" applyNumberFormat="1" applyFill="1" applyAlignment="1" applyProtection="1">
      <alignment vertical="center"/>
      <protection locked="0"/>
    </xf>
    <xf numFmtId="3" fontId="39" fillId="0" borderId="17" xfId="61" applyNumberFormat="1" applyFont="1" applyFill="1" applyBorder="1" applyAlignment="1" applyProtection="1">
      <alignment horizontal="left" vertical="center" wrapText="1"/>
      <protection/>
    </xf>
    <xf numFmtId="3" fontId="39" fillId="0" borderId="17" xfId="61" applyNumberFormat="1" applyFont="1" applyFill="1" applyBorder="1" applyAlignment="1" applyProtection="1">
      <alignment vertical="center"/>
      <protection locked="0"/>
    </xf>
    <xf numFmtId="3" fontId="43" fillId="0" borderId="13" xfId="61" applyNumberFormat="1" applyFont="1" applyFill="1" applyBorder="1" applyAlignment="1" applyProtection="1">
      <alignment horizontal="left" vertical="center" wrapText="1"/>
      <protection/>
    </xf>
    <xf numFmtId="3" fontId="47" fillId="0" borderId="13" xfId="61" applyNumberFormat="1" applyFont="1" applyFill="1" applyBorder="1" applyAlignment="1" applyProtection="1">
      <alignment vertical="center"/>
      <protection/>
    </xf>
    <xf numFmtId="3" fontId="47" fillId="0" borderId="36" xfId="61" applyNumberFormat="1" applyFont="1" applyFill="1" applyBorder="1" applyAlignment="1" applyProtection="1">
      <alignment vertical="center"/>
      <protection/>
    </xf>
    <xf numFmtId="3" fontId="39" fillId="0" borderId="50" xfId="61" applyNumberFormat="1" applyFont="1" applyFill="1" applyBorder="1" applyAlignment="1" applyProtection="1">
      <alignment vertical="center"/>
      <protection/>
    </xf>
    <xf numFmtId="3" fontId="43" fillId="0" borderId="13" xfId="61" applyNumberFormat="1" applyFont="1" applyFill="1" applyBorder="1" applyAlignment="1" applyProtection="1">
      <alignment horizontal="left" wrapText="1"/>
      <protection/>
    </xf>
    <xf numFmtId="3" fontId="47" fillId="0" borderId="13" xfId="61" applyNumberFormat="1" applyFont="1" applyFill="1" applyBorder="1" applyProtection="1">
      <alignment/>
      <protection/>
    </xf>
    <xf numFmtId="3" fontId="47" fillId="0" borderId="36" xfId="61" applyNumberFormat="1" applyFont="1" applyFill="1" applyBorder="1" applyProtection="1">
      <alignment/>
      <protection/>
    </xf>
    <xf numFmtId="3" fontId="53" fillId="0" borderId="0" xfId="61" applyNumberFormat="1" applyFont="1" applyFill="1" applyProtection="1">
      <alignment/>
      <protection/>
    </xf>
    <xf numFmtId="3" fontId="26" fillId="0" borderId="0" xfId="61" applyNumberFormat="1" applyFont="1" applyFill="1" applyAlignment="1" applyProtection="1">
      <alignment wrapText="1"/>
      <protection locked="0"/>
    </xf>
    <xf numFmtId="3" fontId="40" fillId="0" borderId="0" xfId="61" applyNumberFormat="1" applyFont="1" applyFill="1" applyProtection="1">
      <alignment/>
      <protection locked="0"/>
    </xf>
    <xf numFmtId="3" fontId="3" fillId="0" borderId="36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12" fillId="1" borderId="22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3" fontId="59" fillId="0" borderId="40" xfId="57" applyNumberFormat="1" applyFont="1" applyBorder="1" applyAlignment="1">
      <alignment horizontal="right"/>
      <protection/>
    </xf>
    <xf numFmtId="0" fontId="59" fillId="0" borderId="56" xfId="57" applyFont="1" applyFill="1" applyBorder="1">
      <alignment/>
      <protection/>
    </xf>
    <xf numFmtId="3" fontId="59" fillId="0" borderId="40" xfId="57" applyNumberFormat="1" applyFont="1" applyFill="1" applyBorder="1">
      <alignment/>
      <protection/>
    </xf>
    <xf numFmtId="0" fontId="12" fillId="1" borderId="69" xfId="58" applyFont="1" applyFill="1" applyBorder="1" applyAlignment="1">
      <alignment horizontal="center" vertical="center" wrapText="1"/>
      <protection/>
    </xf>
    <xf numFmtId="0" fontId="12" fillId="1" borderId="69" xfId="58" applyFont="1" applyFill="1" applyBorder="1" applyAlignment="1">
      <alignment horizontal="center" vertical="center"/>
      <protection/>
    </xf>
    <xf numFmtId="3" fontId="11" fillId="0" borderId="47" xfId="58" applyNumberFormat="1" applyFont="1" applyBorder="1">
      <alignment/>
      <protection/>
    </xf>
    <xf numFmtId="167" fontId="43" fillId="0" borderId="71" xfId="0" applyNumberFormat="1" applyFont="1" applyFill="1" applyBorder="1" applyAlignment="1" applyProtection="1">
      <alignment horizontal="center" vertical="center" wrapText="1"/>
      <protection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1" xfId="0" applyNumberFormat="1" applyFont="1" applyBorder="1" applyAlignment="1">
      <alignment vertical="center"/>
    </xf>
    <xf numFmtId="10" fontId="7" fillId="0" borderId="21" xfId="0" applyNumberFormat="1" applyFont="1" applyFill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7" fillId="0" borderId="23" xfId="0" applyNumberFormat="1" applyFont="1" applyFill="1" applyBorder="1" applyAlignment="1">
      <alignment vertical="center"/>
    </xf>
    <xf numFmtId="10" fontId="63" fillId="0" borderId="36" xfId="59" applyNumberFormat="1" applyFont="1" applyFill="1" applyBorder="1" applyAlignment="1">
      <alignment vertical="top"/>
      <protection/>
    </xf>
    <xf numFmtId="10" fontId="31" fillId="0" borderId="71" xfId="58" applyNumberFormat="1" applyFont="1" applyBorder="1" applyAlignment="1">
      <alignment horizontal="right" vertical="center" wrapText="1"/>
      <protection/>
    </xf>
    <xf numFmtId="10" fontId="59" fillId="0" borderId="17" xfId="57" applyNumberFormat="1" applyFont="1" applyBorder="1" applyAlignment="1">
      <alignment horizontal="right"/>
      <protection/>
    </xf>
    <xf numFmtId="10" fontId="59" fillId="0" borderId="40" xfId="57" applyNumberFormat="1" applyFont="1" applyBorder="1" applyAlignment="1">
      <alignment horizontal="right"/>
      <protection/>
    </xf>
    <xf numFmtId="10" fontId="59" fillId="0" borderId="13" xfId="57" applyNumberFormat="1" applyFont="1" applyBorder="1" applyAlignment="1">
      <alignment horizontal="right" vertical="center"/>
      <protection/>
    </xf>
    <xf numFmtId="10" fontId="59" fillId="0" borderId="13" xfId="57" applyNumberFormat="1" applyFont="1" applyFill="1" applyBorder="1" applyAlignment="1">
      <alignment vertical="center"/>
      <protection/>
    </xf>
    <xf numFmtId="10" fontId="59" fillId="0" borderId="13" xfId="57" applyNumberFormat="1" applyFont="1" applyFill="1" applyBorder="1">
      <alignment/>
      <protection/>
    </xf>
    <xf numFmtId="10" fontId="59" fillId="0" borderId="21" xfId="57" applyNumberFormat="1" applyFont="1" applyBorder="1">
      <alignment/>
      <protection/>
    </xf>
    <xf numFmtId="10" fontId="59" fillId="0" borderId="25" xfId="57" applyNumberFormat="1" applyFont="1" applyBorder="1">
      <alignment/>
      <protection/>
    </xf>
    <xf numFmtId="3" fontId="3" fillId="0" borderId="45" xfId="0" applyNumberFormat="1" applyFont="1" applyFill="1" applyBorder="1" applyAlignment="1">
      <alignment horizontal="center" vertical="center" wrapText="1"/>
    </xf>
    <xf numFmtId="167" fontId="39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2" xfId="0" applyFill="1" applyBorder="1" applyAlignment="1" applyProtection="1">
      <alignment horizontal="right" vertical="center" wrapText="1" indent="1"/>
      <protection/>
    </xf>
    <xf numFmtId="3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4" xfId="0" applyFont="1" applyFill="1" applyBorder="1" applyAlignment="1">
      <alignment horizontal="centerContinuous" vertical="center" wrapText="1"/>
    </xf>
    <xf numFmtId="3" fontId="7" fillId="0" borderId="28" xfId="0" applyNumberFormat="1" applyFont="1" applyFill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3" fillId="0" borderId="44" xfId="0" applyNumberFormat="1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10" fontId="7" fillId="33" borderId="43" xfId="0" applyNumberFormat="1" applyFont="1" applyFill="1" applyBorder="1" applyAlignment="1">
      <alignment horizontal="right" vertical="center" wrapText="1"/>
    </xf>
    <xf numFmtId="3" fontId="31" fillId="0" borderId="58" xfId="58" applyNumberFormat="1" applyFont="1" applyFill="1" applyBorder="1" applyAlignment="1">
      <alignment vertical="center"/>
      <protection/>
    </xf>
    <xf numFmtId="3" fontId="31" fillId="0" borderId="54" xfId="58" applyNumberFormat="1" applyFont="1" applyFill="1" applyBorder="1" applyAlignment="1">
      <alignment horizontal="right" vertical="center" wrapText="1"/>
      <protection/>
    </xf>
    <xf numFmtId="3" fontId="31" fillId="0" borderId="71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3" fillId="0" borderId="53" xfId="0" applyFont="1" applyFill="1" applyBorder="1" applyAlignment="1">
      <alignment horizontal="centerContinuous" vertical="center" wrapText="1"/>
    </xf>
    <xf numFmtId="3" fontId="3" fillId="33" borderId="53" xfId="0" applyNumberFormat="1" applyFont="1" applyFill="1" applyBorder="1" applyAlignment="1">
      <alignment horizontal="right" vertical="center" wrapText="1"/>
    </xf>
    <xf numFmtId="0" fontId="69" fillId="0" borderId="79" xfId="0" applyFont="1" applyBorder="1" applyAlignment="1">
      <alignment vertical="center" wrapText="1"/>
    </xf>
    <xf numFmtId="0" fontId="69" fillId="0" borderId="88" xfId="0" applyFont="1" applyBorder="1" applyAlignment="1">
      <alignment horizontal="center" vertical="center" wrapText="1"/>
    </xf>
    <xf numFmtId="3" fontId="31" fillId="0" borderId="88" xfId="58" applyNumberFormat="1" applyFont="1" applyFill="1" applyBorder="1" applyAlignment="1">
      <alignment vertical="center"/>
      <protection/>
    </xf>
    <xf numFmtId="10" fontId="31" fillId="0" borderId="88" xfId="58" applyNumberFormat="1" applyFont="1" applyBorder="1" applyAlignment="1">
      <alignment horizontal="right" vertical="center" wrapText="1"/>
      <protection/>
    </xf>
    <xf numFmtId="3" fontId="15" fillId="0" borderId="0" xfId="58" applyNumberFormat="1" applyFont="1">
      <alignment/>
      <protection/>
    </xf>
    <xf numFmtId="167" fontId="36" fillId="0" borderId="10" xfId="60" applyNumberFormat="1" applyFont="1" applyFill="1" applyBorder="1" applyAlignment="1" applyProtection="1">
      <alignment vertical="center"/>
      <protection/>
    </xf>
    <xf numFmtId="3" fontId="11" fillId="0" borderId="47" xfId="58" applyNumberFormat="1" applyBorder="1" applyAlignment="1">
      <alignment vertical="center"/>
      <protection/>
    </xf>
    <xf numFmtId="0" fontId="59" fillId="0" borderId="20" xfId="57" applyFont="1" applyBorder="1">
      <alignment/>
      <protection/>
    </xf>
    <xf numFmtId="0" fontId="1" fillId="0" borderId="32" xfId="57" applyFont="1" applyFill="1" applyBorder="1">
      <alignment/>
      <protection/>
    </xf>
    <xf numFmtId="3" fontId="1" fillId="0" borderId="25" xfId="57" applyNumberFormat="1" applyFont="1" applyFill="1" applyBorder="1">
      <alignment/>
      <protection/>
    </xf>
    <xf numFmtId="0" fontId="1" fillId="0" borderId="32" xfId="57" applyFont="1" applyBorder="1">
      <alignment/>
      <protection/>
    </xf>
    <xf numFmtId="0" fontId="1" fillId="0" borderId="32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78" fillId="0" borderId="0" xfId="57" applyFont="1" applyFill="1" applyAlignment="1">
      <alignment horizontal="right"/>
      <protection/>
    </xf>
    <xf numFmtId="10" fontId="59" fillId="0" borderId="40" xfId="57" applyNumberFormat="1" applyFont="1" applyFill="1" applyBorder="1" applyAlignment="1">
      <alignment horizontal="center"/>
      <protection/>
    </xf>
    <xf numFmtId="0" fontId="31" fillId="0" borderId="21" xfId="58" applyFont="1" applyFill="1" applyBorder="1" applyAlignment="1">
      <alignment vertical="center" wrapText="1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left" vertical="center" wrapText="1"/>
      <protection/>
    </xf>
    <xf numFmtId="0" fontId="0" fillId="0" borderId="31" xfId="58" applyFont="1" applyFill="1" applyBorder="1" applyAlignment="1">
      <alignment horizontal="center" vertical="center"/>
      <protection/>
    </xf>
    <xf numFmtId="3" fontId="7" fillId="0" borderId="24" xfId="58" applyNumberFormat="1" applyFont="1" applyFill="1" applyBorder="1" applyAlignment="1">
      <alignment horizontal="right" vertical="center"/>
      <protection/>
    </xf>
    <xf numFmtId="167" fontId="47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7" xfId="60" applyFont="1" applyFill="1" applyBorder="1" applyAlignment="1" applyProtection="1">
      <alignment horizontal="left" vertical="center" wrapText="1" indent="1"/>
      <protection/>
    </xf>
    <xf numFmtId="0" fontId="39" fillId="0" borderId="15" xfId="0" applyFont="1" applyFill="1" applyBorder="1" applyAlignment="1" applyProtection="1">
      <alignment horizontal="lef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1" xfId="0" applyFont="1" applyFill="1" applyBorder="1" applyAlignment="1" applyProtection="1">
      <alignment horizontal="left" vertical="center" wrapText="1" indent="1"/>
      <protection/>
    </xf>
    <xf numFmtId="167" fontId="47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 applyProtection="1">
      <alignment horizontal="lef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4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6" xfId="0" applyFont="1" applyFill="1" applyBorder="1" applyAlignment="1" applyProtection="1">
      <alignment horizontal="lef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64" xfId="0" applyFont="1" applyFill="1" applyBorder="1" applyAlignment="1" applyProtection="1">
      <alignment horizontal="left" vertical="center" wrapText="1" indent="1"/>
      <protection/>
    </xf>
    <xf numFmtId="0" fontId="39" fillId="0" borderId="58" xfId="0" applyFont="1" applyFill="1" applyBorder="1" applyAlignment="1" applyProtection="1">
      <alignment horizontal="left" vertical="center" wrapText="1" indent="1"/>
      <protection/>
    </xf>
    <xf numFmtId="0" fontId="39" fillId="0" borderId="54" xfId="0" applyFont="1" applyFill="1" applyBorder="1" applyAlignment="1" applyProtection="1">
      <alignment horizontal="left" vertical="center" wrapText="1" indent="1"/>
      <protection/>
    </xf>
    <xf numFmtId="167" fontId="39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>
      <alignment horizontal="right" vertical="center" wrapText="1"/>
    </xf>
    <xf numFmtId="0" fontId="14" fillId="0" borderId="0" xfId="58" applyFont="1" applyAlignment="1">
      <alignment horizontal="center"/>
      <protection/>
    </xf>
    <xf numFmtId="3" fontId="0" fillId="0" borderId="6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8" applyFont="1" applyAlignment="1">
      <alignment wrapText="1"/>
      <protection/>
    </xf>
    <xf numFmtId="0" fontId="3" fillId="0" borderId="34" xfId="0" applyFont="1" applyFill="1" applyBorder="1" applyAlignment="1">
      <alignment horizontal="centerContinuous" vertical="center" wrapText="1"/>
    </xf>
    <xf numFmtId="3" fontId="3" fillId="0" borderId="44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3" fontId="2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15" fillId="0" borderId="15" xfId="58" applyNumberFormat="1" applyFont="1" applyBorder="1" applyAlignment="1">
      <alignment vertical="center"/>
      <protection/>
    </xf>
    <xf numFmtId="3" fontId="15" fillId="0" borderId="21" xfId="58" applyNumberFormat="1" applyFont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58" applyNumberFormat="1" applyFont="1" applyFill="1" applyBorder="1" applyAlignment="1">
      <alignment vertical="center"/>
      <protection/>
    </xf>
    <xf numFmtId="3" fontId="15" fillId="0" borderId="21" xfId="58" applyNumberFormat="1" applyFont="1" applyFill="1" applyBorder="1" applyAlignment="1">
      <alignment horizontal="right" vertical="center"/>
      <protection/>
    </xf>
    <xf numFmtId="0" fontId="14" fillId="0" borderId="21" xfId="0" applyFont="1" applyFill="1" applyBorder="1" applyAlignment="1">
      <alignment vertical="center"/>
    </xf>
    <xf numFmtId="10" fontId="7" fillId="33" borderId="50" xfId="0" applyNumberFormat="1" applyFont="1" applyFill="1" applyBorder="1" applyAlignment="1">
      <alignment horizontal="right" vertical="center" wrapText="1"/>
    </xf>
    <xf numFmtId="10" fontId="7" fillId="0" borderId="38" xfId="0" applyNumberFormat="1" applyFont="1" applyFill="1" applyBorder="1" applyAlignment="1">
      <alignment horizontal="right" vertical="center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10" fontId="3" fillId="0" borderId="36" xfId="0" applyNumberFormat="1" applyFont="1" applyFill="1" applyBorder="1" applyAlignment="1">
      <alignment horizontal="centerContinuous" vertical="center" wrapText="1"/>
    </xf>
    <xf numFmtId="10" fontId="7" fillId="0" borderId="22" xfId="0" applyNumberFormat="1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7" fillId="0" borderId="43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0" fontId="7" fillId="0" borderId="30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0" fontId="28" fillId="0" borderId="64" xfId="60" applyFont="1" applyFill="1" applyBorder="1" applyAlignment="1" applyProtection="1">
      <alignment horizontal="left" vertical="center" wrapText="1"/>
      <protection/>
    </xf>
    <xf numFmtId="0" fontId="28" fillId="0" borderId="46" xfId="60" applyFont="1" applyFill="1" applyBorder="1" applyAlignment="1" applyProtection="1">
      <alignment horizontal="left" vertical="center" wrapText="1"/>
      <protection/>
    </xf>
    <xf numFmtId="0" fontId="28" fillId="0" borderId="84" xfId="60" applyFont="1" applyFill="1" applyBorder="1" applyAlignment="1" applyProtection="1">
      <alignment horizontal="left" vertical="center" wrapText="1"/>
      <protection/>
    </xf>
    <xf numFmtId="49" fontId="7" fillId="0" borderId="54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54" fillId="0" borderId="10" xfId="60" applyNumberFormat="1" applyFont="1" applyFill="1" applyBorder="1" applyAlignment="1" applyProtection="1">
      <alignment horizontal="left" vertical="center"/>
      <protection/>
    </xf>
    <xf numFmtId="0" fontId="40" fillId="0" borderId="0" xfId="60" applyFont="1" applyFill="1" applyAlignment="1">
      <alignment horizontal="center"/>
      <protection/>
    </xf>
    <xf numFmtId="0" fontId="7" fillId="0" borderId="3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37" fillId="0" borderId="23" xfId="60" applyFont="1" applyFill="1" applyBorder="1" applyAlignment="1">
      <alignment horizontal="left"/>
      <protection/>
    </xf>
    <xf numFmtId="0" fontId="28" fillId="0" borderId="58" xfId="60" applyFont="1" applyFill="1" applyBorder="1" applyAlignment="1" applyProtection="1">
      <alignment horizontal="left" vertical="center" wrapText="1"/>
      <protection/>
    </xf>
    <xf numFmtId="0" fontId="28" fillId="0" borderId="30" xfId="60" applyFont="1" applyFill="1" applyBorder="1" applyAlignment="1" applyProtection="1">
      <alignment horizontal="left" vertical="center" wrapText="1"/>
      <protection/>
    </xf>
    <xf numFmtId="0" fontId="28" fillId="0" borderId="83" xfId="60" applyFont="1" applyFill="1" applyBorder="1" applyAlignment="1" applyProtection="1">
      <alignment horizontal="left" vertical="center" wrapText="1"/>
      <protection/>
    </xf>
    <xf numFmtId="0" fontId="28" fillId="0" borderId="66" xfId="60" applyFont="1" applyFill="1" applyBorder="1" applyAlignment="1" applyProtection="1">
      <alignment horizontal="left" vertical="center" wrapText="1"/>
      <protection/>
    </xf>
    <xf numFmtId="0" fontId="28" fillId="0" borderId="59" xfId="60" applyFont="1" applyFill="1" applyBorder="1" applyAlignment="1" applyProtection="1">
      <alignment horizontal="left" vertical="center" wrapText="1"/>
      <protection/>
    </xf>
    <xf numFmtId="0" fontId="28" fillId="0" borderId="86" xfId="60" applyFont="1" applyFill="1" applyBorder="1" applyAlignment="1" applyProtection="1">
      <alignment horizontal="left" vertical="center" wrapText="1"/>
      <protection/>
    </xf>
    <xf numFmtId="0" fontId="26" fillId="0" borderId="15" xfId="60" applyFont="1" applyFill="1" applyBorder="1" applyAlignment="1">
      <alignment horizontal="left"/>
      <protection/>
    </xf>
    <xf numFmtId="0" fontId="28" fillId="0" borderId="21" xfId="60" applyFont="1" applyFill="1" applyBorder="1" applyAlignment="1">
      <alignment horizontal="left"/>
      <protection/>
    </xf>
    <xf numFmtId="0" fontId="37" fillId="0" borderId="21" xfId="60" applyFont="1" applyFill="1" applyBorder="1" applyAlignment="1">
      <alignment horizontal="left"/>
      <protection/>
    </xf>
    <xf numFmtId="0" fontId="40" fillId="0" borderId="0" xfId="60" applyFont="1" applyFill="1" applyAlignment="1">
      <alignment horizontal="center" wrapText="1"/>
      <protection/>
    </xf>
    <xf numFmtId="0" fontId="40" fillId="0" borderId="0" xfId="60" applyFont="1" applyFill="1" applyBorder="1" applyAlignment="1">
      <alignment horizontal="center" wrapText="1"/>
      <protection/>
    </xf>
    <xf numFmtId="0" fontId="54" fillId="0" borderId="0" xfId="60" applyFont="1" applyFill="1" applyBorder="1" applyAlignment="1">
      <alignment horizontal="left"/>
      <protection/>
    </xf>
    <xf numFmtId="0" fontId="26" fillId="0" borderId="53" xfId="60" applyFont="1" applyFill="1" applyBorder="1" applyAlignment="1" applyProtection="1">
      <alignment horizontal="left" vertical="center" wrapText="1"/>
      <protection/>
    </xf>
    <xf numFmtId="0" fontId="26" fillId="0" borderId="34" xfId="60" applyFont="1" applyFill="1" applyBorder="1" applyAlignment="1" applyProtection="1">
      <alignment horizontal="left" vertical="center" wrapText="1"/>
      <protection/>
    </xf>
    <xf numFmtId="0" fontId="26" fillId="0" borderId="44" xfId="60" applyFont="1" applyFill="1" applyBorder="1" applyAlignment="1" applyProtection="1">
      <alignment horizontal="left" vertical="center" wrapText="1"/>
      <protection/>
    </xf>
    <xf numFmtId="167" fontId="54" fillId="0" borderId="0" xfId="60" applyNumberFormat="1" applyFont="1" applyFill="1" applyBorder="1" applyAlignment="1" applyProtection="1">
      <alignment horizontal="left" vertical="center"/>
      <protection/>
    </xf>
    <xf numFmtId="0" fontId="28" fillId="0" borderId="65" xfId="60" applyFont="1" applyFill="1" applyBorder="1" applyAlignment="1" applyProtection="1">
      <alignment horizontal="left" vertical="center" wrapText="1"/>
      <protection/>
    </xf>
    <xf numFmtId="0" fontId="28" fillId="0" borderId="10" xfId="60" applyFont="1" applyFill="1" applyBorder="1" applyAlignment="1" applyProtection="1">
      <alignment horizontal="left" vertical="center" wrapText="1"/>
      <protection/>
    </xf>
    <xf numFmtId="0" fontId="28" fillId="0" borderId="85" xfId="60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167" fontId="56" fillId="0" borderId="0" xfId="0" applyNumberFormat="1" applyFont="1" applyFill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3" fillId="0" borderId="5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3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3" fontId="16" fillId="33" borderId="12" xfId="58" applyNumberFormat="1" applyFont="1" applyFill="1" applyBorder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36" xfId="58" applyNumberFormat="1" applyFont="1" applyFill="1" applyBorder="1" applyAlignment="1">
      <alignment horizontal="center" vertic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36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4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4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4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71" fillId="0" borderId="34" xfId="59" applyFont="1" applyBorder="1" applyAlignment="1">
      <alignment horizontal="center" vertical="center" wrapText="1"/>
      <protection/>
    </xf>
    <xf numFmtId="0" fontId="69" fillId="0" borderId="30" xfId="59" applyFont="1" applyFill="1" applyBorder="1" applyAlignment="1">
      <alignment horizontal="left"/>
      <protection/>
    </xf>
    <xf numFmtId="0" fontId="69" fillId="0" borderId="58" xfId="59" applyFont="1" applyFill="1" applyBorder="1" applyAlignment="1">
      <alignment horizontal="left" vertical="center" wrapText="1"/>
      <protection/>
    </xf>
    <xf numFmtId="0" fontId="69" fillId="0" borderId="30" xfId="59" applyFont="1" applyFill="1" applyBorder="1" applyAlignment="1">
      <alignment horizontal="left" vertical="center" wrapText="1"/>
      <protection/>
    </xf>
    <xf numFmtId="166" fontId="69" fillId="0" borderId="30" xfId="59" applyNumberFormat="1" applyFont="1" applyBorder="1" applyAlignment="1">
      <alignment horizontal="left" wrapText="1"/>
      <protection/>
    </xf>
    <xf numFmtId="166" fontId="69" fillId="0" borderId="58" xfId="59" applyNumberFormat="1" applyFont="1" applyBorder="1" applyAlignment="1">
      <alignment horizontal="left" wrapText="1"/>
      <protection/>
    </xf>
    <xf numFmtId="166" fontId="69" fillId="0" borderId="66" xfId="59" applyNumberFormat="1" applyFont="1" applyBorder="1" applyAlignment="1">
      <alignment horizontal="left" wrapText="1"/>
      <protection/>
    </xf>
    <xf numFmtId="166" fontId="69" fillId="0" borderId="59" xfId="59" applyNumberFormat="1" applyFont="1" applyBorder="1" applyAlignment="1">
      <alignment horizontal="left" wrapText="1"/>
      <protection/>
    </xf>
    <xf numFmtId="0" fontId="69" fillId="0" borderId="46" xfId="59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66" fillId="0" borderId="0" xfId="58" applyFont="1" applyAlignment="1">
      <alignment horizontal="center"/>
      <protection/>
    </xf>
    <xf numFmtId="0" fontId="6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68" fillId="0" borderId="34" xfId="59" applyNumberFormat="1" applyFont="1" applyBorder="1" applyAlignment="1">
      <alignment horizontal="center" vertical="center" wrapText="1"/>
      <protection/>
    </xf>
    <xf numFmtId="3" fontId="68" fillId="0" borderId="12" xfId="59" applyNumberFormat="1" applyFont="1" applyBorder="1" applyAlignment="1">
      <alignment horizontal="center" vertical="center" wrapText="1"/>
      <protection/>
    </xf>
    <xf numFmtId="3" fontId="68" fillId="0" borderId="13" xfId="59" applyNumberFormat="1" applyFont="1" applyBorder="1" applyAlignment="1">
      <alignment horizontal="center" vertical="center" wrapText="1"/>
      <protection/>
    </xf>
    <xf numFmtId="3" fontId="68" fillId="0" borderId="36" xfId="59" applyNumberFormat="1" applyFont="1" applyBorder="1" applyAlignment="1">
      <alignment horizontal="center" vertical="center" wrapText="1"/>
      <protection/>
    </xf>
    <xf numFmtId="3" fontId="79" fillId="0" borderId="10" xfId="58" applyNumberFormat="1" applyFont="1" applyBorder="1" applyAlignment="1">
      <alignment horizontal="right"/>
      <protection/>
    </xf>
    <xf numFmtId="0" fontId="72" fillId="0" borderId="10" xfId="58" applyFont="1" applyBorder="1" applyAlignment="1">
      <alignment horizontal="center" vertical="center" wrapText="1"/>
      <protection/>
    </xf>
    <xf numFmtId="0" fontId="24" fillId="34" borderId="72" xfId="58" applyFont="1" applyFill="1" applyBorder="1" applyAlignment="1">
      <alignment horizontal="center" vertical="center" wrapText="1"/>
      <protection/>
    </xf>
    <xf numFmtId="0" fontId="24" fillId="34" borderId="18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24" fillId="34" borderId="35" xfId="58" applyFont="1" applyFill="1" applyBorder="1" applyAlignment="1">
      <alignment horizontal="center" vertical="center" wrapText="1"/>
      <protection/>
    </xf>
    <xf numFmtId="0" fontId="24" fillId="34" borderId="27" xfId="58" applyFont="1" applyFill="1" applyBorder="1" applyAlignment="1">
      <alignment horizontal="center" vertical="center" wrapText="1"/>
      <protection/>
    </xf>
    <xf numFmtId="0" fontId="24" fillId="34" borderId="90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49" xfId="58" applyNumberFormat="1" applyFont="1" applyFill="1" applyBorder="1" applyAlignment="1">
      <alignment horizontal="center" vertical="center" wrapText="1"/>
      <protection/>
    </xf>
    <xf numFmtId="3" fontId="24" fillId="34" borderId="71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91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72" fillId="0" borderId="0" xfId="58" applyFont="1" applyAlignment="1">
      <alignment horizontal="center" vertical="center" wrapText="1"/>
      <protection/>
    </xf>
    <xf numFmtId="0" fontId="7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0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2" xfId="58" applyFont="1" applyFill="1" applyBorder="1" applyAlignment="1">
      <alignment horizontal="center" vertical="center" wrapText="1"/>
      <protection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6" xfId="58" applyFont="1" applyFill="1" applyBorder="1" applyAlignment="1">
      <alignment horizontal="center" vertical="center"/>
      <protection/>
    </xf>
    <xf numFmtId="0" fontId="12" fillId="1" borderId="14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21" xfId="58" applyFont="1" applyFill="1" applyBorder="1" applyAlignment="1">
      <alignment horizontal="center" vertical="center"/>
      <protection/>
    </xf>
    <xf numFmtId="0" fontId="12" fillId="1" borderId="2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0" fillId="0" borderId="12" xfId="60" applyFont="1" applyFill="1" applyBorder="1" applyAlignment="1" applyProtection="1">
      <alignment horizontal="left" vertical="center"/>
      <protection/>
    </xf>
    <xf numFmtId="0" fontId="40" fillId="0" borderId="13" xfId="60" applyFont="1" applyFill="1" applyBorder="1" applyAlignment="1" applyProtection="1">
      <alignment horizontal="left" vertical="center"/>
      <protection/>
    </xf>
    <xf numFmtId="0" fontId="39" fillId="0" borderId="60" xfId="60" applyFont="1" applyFill="1" applyBorder="1" applyAlignment="1">
      <alignment horizontal="justify" vertical="center" wrapText="1"/>
      <protection/>
    </xf>
    <xf numFmtId="167" fontId="75" fillId="0" borderId="0" xfId="60" applyNumberFormat="1" applyFont="1" applyFill="1" applyBorder="1" applyAlignment="1" applyProtection="1">
      <alignment horizontal="center" vertical="center" wrapText="1"/>
      <protection/>
    </xf>
    <xf numFmtId="0" fontId="36" fillId="0" borderId="0" xfId="60" applyFont="1" applyFill="1" applyAlignment="1">
      <alignment horizontal="center" vertical="center"/>
      <protection/>
    </xf>
    <xf numFmtId="0" fontId="38" fillId="0" borderId="10" xfId="0" applyFont="1" applyFill="1" applyBorder="1" applyAlignment="1" applyProtection="1">
      <alignment horizontal="right" vertical="center"/>
      <protection/>
    </xf>
    <xf numFmtId="3" fontId="77" fillId="0" borderId="0" xfId="61" applyNumberFormat="1" applyFont="1" applyFill="1" applyAlignment="1" applyProtection="1">
      <alignment horizontal="center"/>
      <protection locked="0"/>
    </xf>
    <xf numFmtId="3" fontId="40" fillId="0" borderId="0" xfId="61" applyNumberFormat="1" applyFont="1" applyFill="1" applyAlignment="1" applyProtection="1">
      <alignment horizontal="center" wrapText="1"/>
      <protection/>
    </xf>
    <xf numFmtId="3" fontId="40" fillId="0" borderId="0" xfId="61" applyNumberFormat="1" applyFont="1" applyFill="1" applyAlignment="1" applyProtection="1">
      <alignment horizontal="center"/>
      <protection/>
    </xf>
    <xf numFmtId="3" fontId="54" fillId="0" borderId="53" xfId="61" applyNumberFormat="1" applyFont="1" applyFill="1" applyBorder="1" applyAlignment="1" applyProtection="1">
      <alignment horizontal="left" vertical="center" indent="1"/>
      <protection/>
    </xf>
    <xf numFmtId="3" fontId="54" fillId="0" borderId="34" xfId="61" applyNumberFormat="1" applyFont="1" applyFill="1" applyBorder="1" applyAlignment="1" applyProtection="1">
      <alignment horizontal="left" vertical="center" indent="1"/>
      <protection/>
    </xf>
    <xf numFmtId="3" fontId="54" fillId="0" borderId="45" xfId="61" applyNumberFormat="1" applyFont="1" applyFill="1" applyBorder="1" applyAlignment="1" applyProtection="1">
      <alignment horizontal="left" vertical="center" indent="1"/>
      <protection/>
    </xf>
    <xf numFmtId="10" fontId="1" fillId="0" borderId="25" xfId="57" applyNumberFormat="1" applyFont="1" applyBorder="1" applyAlignment="1">
      <alignment horizontal="center"/>
      <protection/>
    </xf>
    <xf numFmtId="10" fontId="1" fillId="0" borderId="27" xfId="57" applyNumberFormat="1" applyFont="1" applyBorder="1" applyAlignment="1">
      <alignment horizontal="center"/>
      <protection/>
    </xf>
    <xf numFmtId="10" fontId="1" fillId="0" borderId="40" xfId="57" applyNumberFormat="1" applyFont="1" applyBorder="1" applyAlignment="1">
      <alignment horizontal="center"/>
      <protection/>
    </xf>
    <xf numFmtId="10" fontId="59" fillId="0" borderId="35" xfId="57" applyNumberFormat="1" applyFont="1" applyBorder="1" applyAlignment="1">
      <alignment horizontal="center"/>
      <protection/>
    </xf>
    <xf numFmtId="10" fontId="59" fillId="0" borderId="40" xfId="57" applyNumberFormat="1" applyFont="1" applyBorder="1" applyAlignment="1">
      <alignment horizontal="center"/>
      <protection/>
    </xf>
    <xf numFmtId="10" fontId="59" fillId="0" borderId="35" xfId="57" applyNumberFormat="1" applyFont="1" applyFill="1" applyBorder="1" applyAlignment="1">
      <alignment horizontal="center"/>
      <protection/>
    </xf>
    <xf numFmtId="10" fontId="59" fillId="0" borderId="27" xfId="57" applyNumberFormat="1" applyFont="1" applyFill="1" applyBorder="1" applyAlignment="1">
      <alignment horizontal="center"/>
      <protection/>
    </xf>
    <xf numFmtId="10" fontId="59" fillId="0" borderId="40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62" fillId="0" borderId="0" xfId="57" applyFont="1" applyFill="1" applyAlignment="1">
      <alignment horizontal="right" vertical="center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zoomScale="70" zoomScaleNormal="70" workbookViewId="0" topLeftCell="A28">
      <selection activeCell="D82" sqref="D82"/>
    </sheetView>
  </sheetViews>
  <sheetFormatPr defaultColWidth="9.140625" defaultRowHeight="12.75"/>
  <cols>
    <col min="1" max="2" width="5.7109375" style="95" customWidth="1"/>
    <col min="3" max="3" width="8.8515625" style="95" customWidth="1"/>
    <col min="4" max="4" width="61.7109375" style="20" customWidth="1"/>
    <col min="5" max="5" width="24.28125" style="319" customWidth="1"/>
    <col min="6" max="6" width="19.140625" style="319" bestFit="1" customWidth="1"/>
    <col min="7" max="9" width="16.7109375" style="319" customWidth="1"/>
    <col min="10" max="10" width="16.7109375" style="319" hidden="1" customWidth="1"/>
    <col min="11" max="11" width="16.7109375" style="320" customWidth="1"/>
    <col min="12" max="12" width="19.140625" style="320" bestFit="1" customWidth="1"/>
    <col min="13" max="13" width="18.7109375" style="320" customWidth="1"/>
    <col min="14" max="14" width="17.421875" style="320" customWidth="1"/>
    <col min="15" max="15" width="16.140625" style="320" customWidth="1"/>
    <col min="16" max="16" width="16.28125" style="320" hidden="1" customWidth="1"/>
    <col min="17" max="18" width="11.57421875" style="320" hidden="1" customWidth="1"/>
    <col min="19" max="19" width="17.140625" style="321" customWidth="1"/>
    <col min="20" max="20" width="14.8515625" style="320" bestFit="1" customWidth="1"/>
    <col min="21" max="21" width="15.00390625" style="320" customWidth="1"/>
    <col min="22" max="22" width="14.421875" style="320" customWidth="1"/>
    <col min="23" max="23" width="15.00390625" style="321" customWidth="1"/>
    <col min="24" max="24" width="11.57421875" style="321" hidden="1" customWidth="1"/>
    <col min="25" max="25" width="11.57421875" style="321" customWidth="1"/>
    <col min="26" max="16384" width="9.140625" style="321" customWidth="1"/>
  </cols>
  <sheetData>
    <row r="1" spans="1:19" ht="12.75">
      <c r="A1" s="92"/>
      <c r="B1" s="92"/>
      <c r="C1" s="92"/>
      <c r="D1" s="93"/>
      <c r="S1" s="53" t="s">
        <v>431</v>
      </c>
    </row>
    <row r="2" spans="1:22" s="323" customFormat="1" ht="34.5" customHeight="1">
      <c r="A2" s="1044" t="s">
        <v>512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243"/>
      <c r="U2" s="322"/>
      <c r="V2" s="322"/>
    </row>
    <row r="3" spans="1:19" ht="13.5" thickBot="1">
      <c r="A3" s="94"/>
      <c r="B3" s="94"/>
      <c r="C3" s="94"/>
      <c r="D3" s="90"/>
      <c r="K3" s="76"/>
      <c r="L3" s="76"/>
      <c r="M3" s="76"/>
      <c r="N3" s="76"/>
      <c r="O3" s="76"/>
      <c r="P3" s="76"/>
      <c r="Q3" s="76"/>
      <c r="R3" s="76"/>
      <c r="S3" s="38" t="s">
        <v>511</v>
      </c>
    </row>
    <row r="4" spans="1:24" ht="45.75" customHeight="1" thickBot="1">
      <c r="A4" s="1045" t="s">
        <v>6</v>
      </c>
      <c r="B4" s="1046"/>
      <c r="C4" s="1046"/>
      <c r="D4" s="324" t="s">
        <v>9</v>
      </c>
      <c r="E4" s="1041" t="s">
        <v>5</v>
      </c>
      <c r="F4" s="1042"/>
      <c r="G4" s="1042"/>
      <c r="H4" s="1042"/>
      <c r="I4" s="1042"/>
      <c r="J4" s="1043"/>
      <c r="K4" s="1041" t="s">
        <v>63</v>
      </c>
      <c r="L4" s="1042"/>
      <c r="M4" s="1042"/>
      <c r="N4" s="1042"/>
      <c r="O4" s="1042"/>
      <c r="P4" s="1042"/>
      <c r="Q4" s="1047"/>
      <c r="R4" s="1043"/>
      <c r="S4" s="1041" t="s">
        <v>64</v>
      </c>
      <c r="T4" s="1042"/>
      <c r="U4" s="1042"/>
      <c r="V4" s="1042"/>
      <c r="W4" s="1042"/>
      <c r="X4" s="1043"/>
    </row>
    <row r="5" spans="1:24" ht="45.75" customHeight="1" thickBot="1">
      <c r="A5" s="302"/>
      <c r="B5" s="303"/>
      <c r="C5" s="303"/>
      <c r="D5" s="324"/>
      <c r="E5" s="358" t="s">
        <v>67</v>
      </c>
      <c r="F5" s="359" t="s">
        <v>230</v>
      </c>
      <c r="G5" s="359" t="s">
        <v>235</v>
      </c>
      <c r="H5" s="359" t="s">
        <v>238</v>
      </c>
      <c r="I5" s="359" t="s">
        <v>494</v>
      </c>
      <c r="J5" s="360" t="s">
        <v>499</v>
      </c>
      <c r="K5" s="358" t="s">
        <v>67</v>
      </c>
      <c r="L5" s="359" t="s">
        <v>230</v>
      </c>
      <c r="M5" s="359" t="s">
        <v>235</v>
      </c>
      <c r="N5" s="359" t="s">
        <v>238</v>
      </c>
      <c r="O5" s="359" t="s">
        <v>494</v>
      </c>
      <c r="P5" s="359" t="s">
        <v>494</v>
      </c>
      <c r="Q5" s="360" t="s">
        <v>499</v>
      </c>
      <c r="R5" s="360" t="s">
        <v>490</v>
      </c>
      <c r="S5" s="358" t="s">
        <v>67</v>
      </c>
      <c r="T5" s="359" t="s">
        <v>230</v>
      </c>
      <c r="U5" s="359" t="s">
        <v>235</v>
      </c>
      <c r="V5" s="359" t="s">
        <v>238</v>
      </c>
      <c r="W5" s="359" t="s">
        <v>494</v>
      </c>
      <c r="X5" s="360" t="s">
        <v>499</v>
      </c>
    </row>
    <row r="6" spans="1:24" s="7" customFormat="1" ht="21.75" customHeight="1" thickBot="1">
      <c r="A6" s="105"/>
      <c r="B6" s="1024"/>
      <c r="C6" s="1024"/>
      <c r="D6" s="1024"/>
      <c r="E6" s="361"/>
      <c r="F6" s="283"/>
      <c r="G6" s="283"/>
      <c r="H6" s="283"/>
      <c r="I6" s="283"/>
      <c r="J6" s="753"/>
      <c r="K6" s="361"/>
      <c r="L6" s="283"/>
      <c r="M6" s="283"/>
      <c r="N6" s="283"/>
      <c r="O6" s="283"/>
      <c r="P6" s="283"/>
      <c r="Q6" s="915"/>
      <c r="R6" s="753"/>
      <c r="S6" s="361"/>
      <c r="T6" s="283"/>
      <c r="U6" s="283"/>
      <c r="V6" s="283"/>
      <c r="W6" s="283"/>
      <c r="X6" s="753"/>
    </row>
    <row r="7" spans="1:24" s="7" customFormat="1" ht="21.75" customHeight="1" thickBot="1">
      <c r="A7" s="105" t="s">
        <v>29</v>
      </c>
      <c r="B7" s="1024" t="s">
        <v>290</v>
      </c>
      <c r="C7" s="1024"/>
      <c r="D7" s="1024"/>
      <c r="E7" s="361">
        <f aca="true" t="shared" si="0" ref="E7:N7">E8+E13+E16+E17+E20</f>
        <v>131360000</v>
      </c>
      <c r="F7" s="283">
        <f t="shared" si="0"/>
        <v>131360000</v>
      </c>
      <c r="G7" s="283">
        <f t="shared" si="0"/>
        <v>132164653</v>
      </c>
      <c r="H7" s="283">
        <f>H8+H13+H16+H17+H20</f>
        <v>132326841</v>
      </c>
      <c r="I7" s="283">
        <f>I8+I13+I16+I17+I20</f>
        <v>134376203</v>
      </c>
      <c r="J7" s="283">
        <f t="shared" si="0"/>
        <v>0</v>
      </c>
      <c r="K7" s="361">
        <f t="shared" si="0"/>
        <v>110712207</v>
      </c>
      <c r="L7" s="283">
        <f t="shared" si="0"/>
        <v>110712207</v>
      </c>
      <c r="M7" s="283">
        <f t="shared" si="0"/>
        <v>111506860</v>
      </c>
      <c r="N7" s="283">
        <f t="shared" si="0"/>
        <v>111439048</v>
      </c>
      <c r="O7" s="283">
        <f>O8+O13+O16+O17+O20</f>
        <v>113488410</v>
      </c>
      <c r="P7" s="283">
        <f>P8+P13+P16+P17+P20</f>
        <v>113488410</v>
      </c>
      <c r="Q7" s="283">
        <f>Q8+Q13+Q16+Q17+Q20</f>
        <v>0</v>
      </c>
      <c r="R7" s="754">
        <f>P7/N7</f>
        <v>1.0183899812209452</v>
      </c>
      <c r="S7" s="361">
        <f aca="true" t="shared" si="1" ref="S7:X7">S8+S13+S16+S17+S20</f>
        <v>20647793</v>
      </c>
      <c r="T7" s="283">
        <f t="shared" si="1"/>
        <v>20647793</v>
      </c>
      <c r="U7" s="283">
        <f t="shared" si="1"/>
        <v>20657793</v>
      </c>
      <c r="V7" s="283">
        <f t="shared" si="1"/>
        <v>20887793</v>
      </c>
      <c r="W7" s="283">
        <f t="shared" si="1"/>
        <v>20887793</v>
      </c>
      <c r="X7" s="283">
        <f t="shared" si="1"/>
        <v>0</v>
      </c>
    </row>
    <row r="8" spans="1:24" ht="21.75" customHeight="1">
      <c r="A8" s="616"/>
      <c r="B8" s="245" t="s">
        <v>37</v>
      </c>
      <c r="C8" s="1040" t="s">
        <v>291</v>
      </c>
      <c r="D8" s="1040"/>
      <c r="E8" s="446">
        <f aca="true" t="shared" si="2" ref="E8:N8">SUM(E9:E12)</f>
        <v>18000000</v>
      </c>
      <c r="F8" s="447">
        <f t="shared" si="2"/>
        <v>18000000</v>
      </c>
      <c r="G8" s="447">
        <f t="shared" si="2"/>
        <v>18000000</v>
      </c>
      <c r="H8" s="447">
        <f>SUM(H9:H12)</f>
        <v>18000000</v>
      </c>
      <c r="I8" s="447">
        <f>SUM(I9:I12)</f>
        <v>18601694</v>
      </c>
      <c r="J8" s="447">
        <f t="shared" si="2"/>
        <v>0</v>
      </c>
      <c r="K8" s="446">
        <f t="shared" si="2"/>
        <v>18000000</v>
      </c>
      <c r="L8" s="447">
        <f t="shared" si="2"/>
        <v>18000000</v>
      </c>
      <c r="M8" s="447">
        <f t="shared" si="2"/>
        <v>18000000</v>
      </c>
      <c r="N8" s="447">
        <f t="shared" si="2"/>
        <v>18000000</v>
      </c>
      <c r="O8" s="447">
        <f>SUM(O9:O12)</f>
        <v>18601694</v>
      </c>
      <c r="P8" s="447">
        <f>SUM(P9:P12)</f>
        <v>18601694</v>
      </c>
      <c r="Q8" s="447">
        <f>SUM(Q9:Q12)</f>
        <v>0</v>
      </c>
      <c r="R8" s="755">
        <f>P8/N8</f>
        <v>1.0334274444444445</v>
      </c>
      <c r="S8" s="446">
        <v>0</v>
      </c>
      <c r="T8" s="447"/>
      <c r="U8" s="447"/>
      <c r="V8" s="447"/>
      <c r="W8" s="447"/>
      <c r="X8" s="447"/>
    </row>
    <row r="9" spans="1:24" ht="21.75" customHeight="1">
      <c r="A9" s="102"/>
      <c r="B9" s="98"/>
      <c r="C9" s="98" t="s">
        <v>296</v>
      </c>
      <c r="D9" s="325" t="s">
        <v>292</v>
      </c>
      <c r="E9" s="363">
        <f>'3.sz.m Önk  bev.'!E9</f>
        <v>0</v>
      </c>
      <c r="F9" s="285">
        <f>'3.sz.m Önk  bev.'!F9</f>
        <v>0</v>
      </c>
      <c r="G9" s="285">
        <f>'3.sz.m Önk  bev.'!G9</f>
        <v>0</v>
      </c>
      <c r="H9" s="285">
        <f>'3.sz.m Önk  bev.'!H9</f>
        <v>0</v>
      </c>
      <c r="I9" s="285">
        <f>'3.sz.m Önk  bev.'!I9</f>
        <v>0</v>
      </c>
      <c r="J9" s="285">
        <f>'3.sz.m Önk  bev.'!J9</f>
        <v>0</v>
      </c>
      <c r="K9" s="363">
        <f>'3.sz.m Önk  bev.'!L9</f>
        <v>0</v>
      </c>
      <c r="L9" s="285">
        <f>'3.sz.m Önk  bev.'!M9</f>
        <v>0</v>
      </c>
      <c r="M9" s="285">
        <f>'3.sz.m Önk  bev.'!N9</f>
        <v>0</v>
      </c>
      <c r="N9" s="285">
        <f>'3.sz.m Önk  bev.'!O9</f>
        <v>0</v>
      </c>
      <c r="O9" s="285">
        <f>'3.sz.m Önk  bev.'!P9</f>
        <v>0</v>
      </c>
      <c r="P9" s="285">
        <f>'3.sz.m Önk  bev.'!P9</f>
        <v>0</v>
      </c>
      <c r="Q9" s="285">
        <f>'3.sz.m Önk  bev.'!Q9</f>
        <v>0</v>
      </c>
      <c r="R9" s="756"/>
      <c r="S9" s="363">
        <v>0</v>
      </c>
      <c r="T9" s="285"/>
      <c r="U9" s="285"/>
      <c r="V9" s="285"/>
      <c r="W9" s="285"/>
      <c r="X9" s="285"/>
    </row>
    <row r="10" spans="1:24" ht="21.75" customHeight="1">
      <c r="A10" s="102"/>
      <c r="B10" s="98"/>
      <c r="C10" s="98" t="s">
        <v>297</v>
      </c>
      <c r="D10" s="325" t="s">
        <v>276</v>
      </c>
      <c r="E10" s="363">
        <f>'3.sz.m Önk  bev.'!E10</f>
        <v>0</v>
      </c>
      <c r="F10" s="285">
        <f>'3.sz.m Önk  bev.'!F10</f>
        <v>0</v>
      </c>
      <c r="G10" s="285">
        <f>'3.sz.m Önk  bev.'!G10</f>
        <v>0</v>
      </c>
      <c r="H10" s="285">
        <f>'3.sz.m Önk  bev.'!H10</f>
        <v>0</v>
      </c>
      <c r="I10" s="285">
        <f>'3.sz.m Önk  bev.'!I10</f>
        <v>0</v>
      </c>
      <c r="J10" s="285">
        <f>'3.sz.m Önk  bev.'!J10</f>
        <v>0</v>
      </c>
      <c r="K10" s="363">
        <f>'3.sz.m Önk  bev.'!L10</f>
        <v>0</v>
      </c>
      <c r="L10" s="285">
        <f>'3.sz.m Önk  bev.'!M10</f>
        <v>0</v>
      </c>
      <c r="M10" s="285">
        <f>'3.sz.m Önk  bev.'!N10</f>
        <v>0</v>
      </c>
      <c r="N10" s="285">
        <f>'3.sz.m Önk  bev.'!O10</f>
        <v>0</v>
      </c>
      <c r="O10" s="285">
        <f>'3.sz.m Önk  bev.'!P10</f>
        <v>0</v>
      </c>
      <c r="P10" s="285">
        <f>'3.sz.m Önk  bev.'!P10</f>
        <v>0</v>
      </c>
      <c r="Q10" s="285">
        <f>'3.sz.m Önk  bev.'!Q10</f>
        <v>0</v>
      </c>
      <c r="R10" s="756"/>
      <c r="S10" s="363">
        <v>0</v>
      </c>
      <c r="T10" s="285"/>
      <c r="U10" s="285"/>
      <c r="V10" s="285"/>
      <c r="W10" s="285"/>
      <c r="X10" s="285"/>
    </row>
    <row r="11" spans="1:24" ht="21.75" customHeight="1">
      <c r="A11" s="102"/>
      <c r="B11" s="98"/>
      <c r="C11" s="98" t="s">
        <v>298</v>
      </c>
      <c r="D11" s="325" t="s">
        <v>275</v>
      </c>
      <c r="E11" s="363">
        <f>'3.sz.m Önk  bev.'!E11</f>
        <v>18000000</v>
      </c>
      <c r="F11" s="285">
        <f>'3.sz.m Önk  bev.'!F11</f>
        <v>18000000</v>
      </c>
      <c r="G11" s="285">
        <f>'3.sz.m Önk  bev.'!G11</f>
        <v>18000000</v>
      </c>
      <c r="H11" s="285">
        <f>'3.sz.m Önk  bev.'!H11</f>
        <v>18000000</v>
      </c>
      <c r="I11" s="285">
        <f>'3.sz.m Önk  bev.'!I11</f>
        <v>18601694</v>
      </c>
      <c r="J11" s="285">
        <f>'3.sz.m Önk  bev.'!J11</f>
        <v>0</v>
      </c>
      <c r="K11" s="363">
        <f>'3.sz.m Önk  bev.'!L11</f>
        <v>18000000</v>
      </c>
      <c r="L11" s="285">
        <f>'3.sz.m Önk  bev.'!M11</f>
        <v>18000000</v>
      </c>
      <c r="M11" s="285">
        <f>'3.sz.m Önk  bev.'!N11</f>
        <v>18000000</v>
      </c>
      <c r="N11" s="285">
        <f>'3.sz.m Önk  bev.'!O11</f>
        <v>18000000</v>
      </c>
      <c r="O11" s="285">
        <f>'3.sz.m Önk  bev.'!P11</f>
        <v>18601694</v>
      </c>
      <c r="P11" s="285">
        <f>'3.sz.m Önk  bev.'!P11</f>
        <v>18601694</v>
      </c>
      <c r="Q11" s="285">
        <f>'3.sz.m Önk  bev.'!Q11</f>
        <v>0</v>
      </c>
      <c r="R11" s="756">
        <f aca="true" t="shared" si="3" ref="R11:R63">P11/N11</f>
        <v>1.0334274444444445</v>
      </c>
      <c r="S11" s="363">
        <v>0</v>
      </c>
      <c r="T11" s="285"/>
      <c r="U11" s="285"/>
      <c r="V11" s="285"/>
      <c r="W11" s="285"/>
      <c r="X11" s="285"/>
    </row>
    <row r="12" spans="1:34" ht="21.75" customHeight="1" hidden="1">
      <c r="A12" s="102"/>
      <c r="B12" s="98"/>
      <c r="C12" s="98"/>
      <c r="D12" s="325"/>
      <c r="E12" s="363"/>
      <c r="F12" s="285"/>
      <c r="G12" s="285"/>
      <c r="H12" s="285"/>
      <c r="I12" s="285"/>
      <c r="J12" s="285"/>
      <c r="K12" s="363"/>
      <c r="L12" s="285"/>
      <c r="M12" s="285"/>
      <c r="N12" s="285"/>
      <c r="O12" s="285"/>
      <c r="P12" s="285"/>
      <c r="Q12" s="285"/>
      <c r="R12" s="756" t="e">
        <f t="shared" si="3"/>
        <v>#DIV/0!</v>
      </c>
      <c r="S12" s="363"/>
      <c r="T12" s="285"/>
      <c r="U12" s="285"/>
      <c r="V12" s="285"/>
      <c r="W12" s="285"/>
      <c r="X12" s="285"/>
      <c r="AH12" s="321" t="s">
        <v>249</v>
      </c>
    </row>
    <row r="13" spans="1:24" ht="21.75" customHeight="1">
      <c r="A13" s="102"/>
      <c r="B13" s="98" t="s">
        <v>38</v>
      </c>
      <c r="C13" s="1035" t="s">
        <v>293</v>
      </c>
      <c r="D13" s="1035"/>
      <c r="E13" s="363">
        <f aca="true" t="shared" si="4" ref="E13:S13">SUM(E14:E15)</f>
        <v>100000000</v>
      </c>
      <c r="F13" s="285">
        <f t="shared" si="4"/>
        <v>100000000</v>
      </c>
      <c r="G13" s="285">
        <f t="shared" si="4"/>
        <v>100000000</v>
      </c>
      <c r="H13" s="285">
        <f>SUM(H14:H15)</f>
        <v>100000000</v>
      </c>
      <c r="I13" s="285">
        <f>SUM(I14:I15)</f>
        <v>100000000</v>
      </c>
      <c r="J13" s="285">
        <f t="shared" si="4"/>
        <v>0</v>
      </c>
      <c r="K13" s="363">
        <f t="shared" si="4"/>
        <v>79352207</v>
      </c>
      <c r="L13" s="285">
        <f t="shared" si="4"/>
        <v>79352207</v>
      </c>
      <c r="M13" s="285">
        <f t="shared" si="4"/>
        <v>79342207</v>
      </c>
      <c r="N13" s="285">
        <f t="shared" si="4"/>
        <v>79112207</v>
      </c>
      <c r="O13" s="1012">
        <f>SUM(O14:O15)</f>
        <v>79112207</v>
      </c>
      <c r="P13" s="363">
        <f t="shared" si="4"/>
        <v>79112207</v>
      </c>
      <c r="Q13" s="363">
        <f t="shared" si="4"/>
        <v>0</v>
      </c>
      <c r="R13" s="363">
        <f t="shared" si="4"/>
        <v>1</v>
      </c>
      <c r="S13" s="363">
        <f t="shared" si="4"/>
        <v>20647793</v>
      </c>
      <c r="T13" s="285">
        <f>SUM(T14:T15)</f>
        <v>20647793</v>
      </c>
      <c r="U13" s="285">
        <f>SUM(U14:U15)</f>
        <v>20657793</v>
      </c>
      <c r="V13" s="285">
        <f>SUM(V14:V15)</f>
        <v>20887793</v>
      </c>
      <c r="W13" s="285">
        <f>SUM(W14:W15)</f>
        <v>20887793</v>
      </c>
      <c r="X13" s="285">
        <f>SUM(X14:X15)</f>
        <v>0</v>
      </c>
    </row>
    <row r="14" spans="1:24" ht="21.75" customHeight="1">
      <c r="A14" s="102"/>
      <c r="B14" s="98"/>
      <c r="C14" s="98" t="s">
        <v>294</v>
      </c>
      <c r="D14" s="559" t="s">
        <v>299</v>
      </c>
      <c r="E14" s="363">
        <f>'3.sz.m Önk  bev.'!E14</f>
        <v>100000000</v>
      </c>
      <c r="F14" s="285">
        <f>'3.sz.m Önk  bev.'!F14</f>
        <v>100000000</v>
      </c>
      <c r="G14" s="285">
        <f>'3.sz.m Önk  bev.'!G14</f>
        <v>100000000</v>
      </c>
      <c r="H14" s="285">
        <f>'3.sz.m Önk  bev.'!H14</f>
        <v>100000000</v>
      </c>
      <c r="I14" s="285">
        <f>'3.sz.m Önk  bev.'!I14</f>
        <v>100000000</v>
      </c>
      <c r="J14" s="285">
        <f>'3.sz.m Önk  bev.'!J14</f>
        <v>0</v>
      </c>
      <c r="K14" s="363">
        <f>'3.sz.m Önk  bev.'!L14</f>
        <v>79352207</v>
      </c>
      <c r="L14" s="285">
        <f>'3.sz.m Önk  bev.'!M14</f>
        <v>79352207</v>
      </c>
      <c r="M14" s="285">
        <f>'3.sz.m Önk  bev.'!N14</f>
        <v>79342207</v>
      </c>
      <c r="N14" s="285">
        <f>'3.sz.m Önk  bev.'!O14</f>
        <v>79112207</v>
      </c>
      <c r="O14" s="285">
        <f>'3.sz.m Önk  bev.'!P14</f>
        <v>79112207</v>
      </c>
      <c r="P14" s="285">
        <f>'3.sz.m Önk  bev.'!P14</f>
        <v>79112207</v>
      </c>
      <c r="Q14" s="285">
        <f>'3.sz.m Önk  bev.'!Q14</f>
        <v>0</v>
      </c>
      <c r="R14" s="756">
        <f t="shared" si="3"/>
        <v>1</v>
      </c>
      <c r="S14" s="363">
        <f>'3.sz.m Önk  bev.'!S14</f>
        <v>20647793</v>
      </c>
      <c r="T14" s="285">
        <f>'3.sz.m Önk  bev.'!T14</f>
        <v>20647793</v>
      </c>
      <c r="U14" s="285">
        <f>'3.sz.m Önk  bev.'!U14</f>
        <v>20657793</v>
      </c>
      <c r="V14" s="285">
        <f>'3.sz.m Önk  bev.'!V14</f>
        <v>20887793</v>
      </c>
      <c r="W14" s="285">
        <f>'3.sz.m Önk  bev.'!W14</f>
        <v>20887793</v>
      </c>
      <c r="X14" s="285">
        <f>'3.sz.m Önk  bev.'!X14</f>
        <v>0</v>
      </c>
    </row>
    <row r="15" spans="1:24" ht="21.75" customHeight="1">
      <c r="A15" s="102"/>
      <c r="B15" s="98"/>
      <c r="C15" s="98" t="s">
        <v>295</v>
      </c>
      <c r="D15" s="559" t="s">
        <v>300</v>
      </c>
      <c r="E15" s="363">
        <f>'3.sz.m Önk  bev.'!E15</f>
        <v>0</v>
      </c>
      <c r="F15" s="285">
        <f>'3.sz.m Önk  bev.'!F15</f>
        <v>0</v>
      </c>
      <c r="G15" s="285">
        <f>'3.sz.m Önk  bev.'!G15</f>
        <v>0</v>
      </c>
      <c r="H15" s="285">
        <f>'3.sz.m Önk  bev.'!H15</f>
        <v>0</v>
      </c>
      <c r="I15" s="285">
        <f>'3.sz.m Önk  bev.'!I15</f>
        <v>0</v>
      </c>
      <c r="J15" s="285">
        <f>'3.sz.m Önk  bev.'!J15</f>
        <v>0</v>
      </c>
      <c r="K15" s="363">
        <f>'3.sz.m Önk  bev.'!L15</f>
        <v>0</v>
      </c>
      <c r="L15" s="285">
        <f>'3.sz.m Önk  bev.'!M15</f>
        <v>0</v>
      </c>
      <c r="M15" s="285">
        <f>'3.sz.m Önk  bev.'!N15</f>
        <v>0</v>
      </c>
      <c r="N15" s="285">
        <f>'3.sz.m Önk  bev.'!O15</f>
        <v>0</v>
      </c>
      <c r="O15" s="285">
        <f>'3.sz.m Önk  bev.'!P15</f>
        <v>0</v>
      </c>
      <c r="P15" s="285">
        <f>'3.sz.m Önk  bev.'!P15</f>
        <v>0</v>
      </c>
      <c r="Q15" s="285">
        <f>'3.sz.m Önk  bev.'!Q15</f>
        <v>0</v>
      </c>
      <c r="R15" s="756"/>
      <c r="S15" s="363">
        <v>0</v>
      </c>
      <c r="T15" s="285"/>
      <c r="U15" s="285"/>
      <c r="V15" s="285"/>
      <c r="W15" s="285"/>
      <c r="X15" s="285"/>
    </row>
    <row r="16" spans="1:24" ht="21.75" customHeight="1">
      <c r="A16" s="102"/>
      <c r="B16" s="98" t="s">
        <v>114</v>
      </c>
      <c r="C16" s="1035" t="s">
        <v>301</v>
      </c>
      <c r="D16" s="1035"/>
      <c r="E16" s="363">
        <f>'3.sz.m Önk  bev.'!E16</f>
        <v>12000000</v>
      </c>
      <c r="F16" s="285">
        <f>'3.sz.m Önk  bev.'!F16</f>
        <v>12000000</v>
      </c>
      <c r="G16" s="285">
        <f>'3.sz.m Önk  bev.'!G16</f>
        <v>12000000</v>
      </c>
      <c r="H16" s="285">
        <f>'3.sz.m Önk  bev.'!H16</f>
        <v>12000000</v>
      </c>
      <c r="I16" s="285">
        <f>'3.sz.m Önk  bev.'!I16</f>
        <v>12150681</v>
      </c>
      <c r="J16" s="285">
        <f>'3.sz.m Önk  bev.'!J16</f>
        <v>0</v>
      </c>
      <c r="K16" s="363">
        <f>'3.sz.m Önk  bev.'!L16</f>
        <v>12000000</v>
      </c>
      <c r="L16" s="285">
        <f>'3.sz.m Önk  bev.'!M16</f>
        <v>12000000</v>
      </c>
      <c r="M16" s="285">
        <f>'3.sz.m Önk  bev.'!N16</f>
        <v>12000000</v>
      </c>
      <c r="N16" s="285">
        <f>'3.sz.m Önk  bev.'!O16</f>
        <v>12000000</v>
      </c>
      <c r="O16" s="285">
        <f>'3.sz.m Önk  bev.'!P16</f>
        <v>12150681</v>
      </c>
      <c r="P16" s="285">
        <f>'3.sz.m Önk  bev.'!P16</f>
        <v>12150681</v>
      </c>
      <c r="Q16" s="285">
        <f>'3.sz.m Önk  bev.'!Q16</f>
        <v>0</v>
      </c>
      <c r="R16" s="757">
        <f t="shared" si="3"/>
        <v>1.01255675</v>
      </c>
      <c r="S16" s="363">
        <v>0</v>
      </c>
      <c r="T16" s="285"/>
      <c r="U16" s="285"/>
      <c r="V16" s="285"/>
      <c r="W16" s="285"/>
      <c r="X16" s="285"/>
    </row>
    <row r="17" spans="1:24" ht="21.75" customHeight="1">
      <c r="A17" s="102"/>
      <c r="B17" s="98" t="s">
        <v>50</v>
      </c>
      <c r="C17" s="1036" t="s">
        <v>302</v>
      </c>
      <c r="D17" s="1037"/>
      <c r="E17" s="363">
        <f aca="true" t="shared" si="5" ref="E17:N17">SUM(E18:E19)</f>
        <v>800000</v>
      </c>
      <c r="F17" s="285">
        <f t="shared" si="5"/>
        <v>800000</v>
      </c>
      <c r="G17" s="285">
        <f t="shared" si="5"/>
        <v>1604633</v>
      </c>
      <c r="H17" s="285">
        <f>SUM(H18:H19)</f>
        <v>1766821</v>
      </c>
      <c r="I17" s="285">
        <f>SUM(I18:I19)</f>
        <v>3063808</v>
      </c>
      <c r="J17" s="285">
        <f t="shared" si="5"/>
        <v>0</v>
      </c>
      <c r="K17" s="363">
        <f t="shared" si="5"/>
        <v>800000</v>
      </c>
      <c r="L17" s="285">
        <f t="shared" si="5"/>
        <v>800000</v>
      </c>
      <c r="M17" s="285">
        <f t="shared" si="5"/>
        <v>1604633</v>
      </c>
      <c r="N17" s="285">
        <f t="shared" si="5"/>
        <v>1766821</v>
      </c>
      <c r="O17" s="285">
        <f>SUM(O18:O19)</f>
        <v>3063808</v>
      </c>
      <c r="P17" s="285">
        <f>SUM(P18:P19)</f>
        <v>3063808</v>
      </c>
      <c r="Q17" s="285">
        <f>SUM(Q18:Q19)</f>
        <v>0</v>
      </c>
      <c r="R17" s="757">
        <f t="shared" si="3"/>
        <v>1.7340794568323559</v>
      </c>
      <c r="S17" s="363">
        <v>0</v>
      </c>
      <c r="T17" s="285"/>
      <c r="U17" s="285"/>
      <c r="V17" s="285"/>
      <c r="W17" s="285"/>
      <c r="X17" s="285"/>
    </row>
    <row r="18" spans="1:24" ht="21.75" customHeight="1">
      <c r="A18" s="102"/>
      <c r="B18" s="98"/>
      <c r="C18" s="98" t="s">
        <v>303</v>
      </c>
      <c r="D18" s="559" t="s">
        <v>305</v>
      </c>
      <c r="E18" s="363">
        <f>'3.sz.m Önk  bev.'!E18</f>
        <v>0</v>
      </c>
      <c r="F18" s="285">
        <f>'3.sz.m Önk  bev.'!F18</f>
        <v>0</v>
      </c>
      <c r="G18" s="285">
        <f>'3.sz.m Önk  bev.'!G18</f>
        <v>0</v>
      </c>
      <c r="H18" s="285">
        <f>'3.sz.m Önk  bev.'!H18</f>
        <v>0</v>
      </c>
      <c r="I18" s="285">
        <f>'3.sz.m Önk  bev.'!I18</f>
        <v>0</v>
      </c>
      <c r="J18" s="285">
        <f>'3.sz.m Önk  bev.'!J18</f>
        <v>0</v>
      </c>
      <c r="K18" s="363">
        <f>'3.sz.m Önk  bev.'!L18</f>
        <v>0</v>
      </c>
      <c r="L18" s="285">
        <f>'3.sz.m Önk  bev.'!M18</f>
        <v>0</v>
      </c>
      <c r="M18" s="285">
        <f>'3.sz.m Önk  bev.'!N18</f>
        <v>0</v>
      </c>
      <c r="N18" s="285">
        <f>'3.sz.m Önk  bev.'!O18</f>
        <v>0</v>
      </c>
      <c r="O18" s="285">
        <f>'3.sz.m Önk  bev.'!P18</f>
        <v>0</v>
      </c>
      <c r="P18" s="285">
        <f>'3.sz.m Önk  bev.'!P18</f>
        <v>0</v>
      </c>
      <c r="Q18" s="285">
        <f>'3.sz.m Önk  bev.'!Q18</f>
        <v>0</v>
      </c>
      <c r="R18" s="757"/>
      <c r="S18" s="363">
        <v>0</v>
      </c>
      <c r="T18" s="285"/>
      <c r="U18" s="285"/>
      <c r="V18" s="285"/>
      <c r="W18" s="285"/>
      <c r="X18" s="285"/>
    </row>
    <row r="19" spans="1:24" ht="21.75" customHeight="1">
      <c r="A19" s="102"/>
      <c r="B19" s="98"/>
      <c r="C19" s="98" t="s">
        <v>304</v>
      </c>
      <c r="D19" s="559" t="s">
        <v>277</v>
      </c>
      <c r="E19" s="363">
        <f>'3.sz.m Önk  bev.'!E19</f>
        <v>800000</v>
      </c>
      <c r="F19" s="285">
        <f>'3.sz.m Önk  bev.'!F19</f>
        <v>800000</v>
      </c>
      <c r="G19" s="285">
        <f>'3.sz.m Önk  bev.'!G19</f>
        <v>1604633</v>
      </c>
      <c r="H19" s="285">
        <f>'3.sz.m Önk  bev.'!H19</f>
        <v>1766821</v>
      </c>
      <c r="I19" s="285">
        <f>'3.sz.m Önk  bev.'!I19</f>
        <v>3063808</v>
      </c>
      <c r="J19" s="285">
        <f>'3.sz.m Önk  bev.'!J19</f>
        <v>0</v>
      </c>
      <c r="K19" s="363">
        <f>'3.sz.m Önk  bev.'!L19</f>
        <v>800000</v>
      </c>
      <c r="L19" s="285">
        <f>'3.sz.m Önk  bev.'!M19</f>
        <v>800000</v>
      </c>
      <c r="M19" s="285">
        <f>'3.sz.m Önk  bev.'!N19</f>
        <v>1604633</v>
      </c>
      <c r="N19" s="285">
        <f>'3.sz.m Önk  bev.'!O19</f>
        <v>1766821</v>
      </c>
      <c r="O19" s="285">
        <f>'3.sz.m Önk  bev.'!P19</f>
        <v>3063808</v>
      </c>
      <c r="P19" s="285">
        <f>'3.sz.m Önk  bev.'!P19</f>
        <v>3063808</v>
      </c>
      <c r="Q19" s="285">
        <f>'3.sz.m Önk  bev.'!Q19</f>
        <v>0</v>
      </c>
      <c r="R19" s="757">
        <f t="shared" si="3"/>
        <v>1.7340794568323559</v>
      </c>
      <c r="S19" s="363">
        <v>0</v>
      </c>
      <c r="T19" s="285"/>
      <c r="U19" s="285"/>
      <c r="V19" s="285"/>
      <c r="W19" s="285"/>
      <c r="X19" s="285"/>
    </row>
    <row r="20" spans="1:24" ht="21.75" customHeight="1" thickBot="1">
      <c r="A20" s="449"/>
      <c r="B20" s="617" t="s">
        <v>51</v>
      </c>
      <c r="C20" s="1038" t="s">
        <v>306</v>
      </c>
      <c r="D20" s="1039"/>
      <c r="E20" s="363">
        <f>'3.sz.m Önk  bev.'!E20</f>
        <v>560000</v>
      </c>
      <c r="F20" s="285">
        <f>'3.sz.m Önk  bev.'!F20</f>
        <v>560000</v>
      </c>
      <c r="G20" s="285">
        <f>'3.sz.m Önk  bev.'!G20</f>
        <v>560020</v>
      </c>
      <c r="H20" s="285">
        <f>'3.sz.m Önk  bev.'!H20</f>
        <v>560020</v>
      </c>
      <c r="I20" s="285">
        <f>'3.sz.m Önk  bev.'!I20</f>
        <v>560020</v>
      </c>
      <c r="J20" s="285">
        <f>'3.sz.m Önk  bev.'!J20</f>
        <v>0</v>
      </c>
      <c r="K20" s="363">
        <f>'3.sz.m Önk  bev.'!L20</f>
        <v>560000</v>
      </c>
      <c r="L20" s="285">
        <f>'3.sz.m Önk  bev.'!M20</f>
        <v>560000</v>
      </c>
      <c r="M20" s="285">
        <f>'3.sz.m Önk  bev.'!N20</f>
        <v>560020</v>
      </c>
      <c r="N20" s="285">
        <f>'3.sz.m Önk  bev.'!O20</f>
        <v>560020</v>
      </c>
      <c r="O20" s="285">
        <f>'3.sz.m Önk  bev.'!P20</f>
        <v>560020</v>
      </c>
      <c r="P20" s="285">
        <f>'3.sz.m Önk  bev.'!P20</f>
        <v>560020</v>
      </c>
      <c r="Q20" s="285">
        <f>'3.sz.m Önk  bev.'!Q20</f>
        <v>0</v>
      </c>
      <c r="R20" s="758">
        <f t="shared" si="3"/>
        <v>1</v>
      </c>
      <c r="S20" s="363">
        <v>0</v>
      </c>
      <c r="T20" s="285"/>
      <c r="U20" s="285"/>
      <c r="V20" s="285"/>
      <c r="W20" s="285"/>
      <c r="X20" s="285"/>
    </row>
    <row r="21" spans="1:24" ht="21.75" customHeight="1" thickBot="1">
      <c r="A21" s="105" t="s">
        <v>307</v>
      </c>
      <c r="B21" s="1024" t="s">
        <v>308</v>
      </c>
      <c r="C21" s="1024"/>
      <c r="D21" s="1024"/>
      <c r="E21" s="361">
        <f aca="true" t="shared" si="6" ref="E21:N21">E22+E23+E25+E29+E30+E31+E32</f>
        <v>50088918</v>
      </c>
      <c r="F21" s="283">
        <f t="shared" si="6"/>
        <v>50088918</v>
      </c>
      <c r="G21" s="283">
        <f>G22+G23+G25+G29+G30+G31+G32+G24</f>
        <v>51846426</v>
      </c>
      <c r="H21" s="283">
        <f>H22+H23+H25+H29+H30+H31+H32+H24</f>
        <v>52805334</v>
      </c>
      <c r="I21" s="283">
        <f>I22+I23+I25+I29+I30+I31+I32+I24</f>
        <v>53489116</v>
      </c>
      <c r="J21" s="283">
        <f t="shared" si="6"/>
        <v>0</v>
      </c>
      <c r="K21" s="361">
        <f t="shared" si="6"/>
        <v>50088918</v>
      </c>
      <c r="L21" s="283">
        <f t="shared" si="6"/>
        <v>50088918</v>
      </c>
      <c r="M21" s="283">
        <f>M22+M23+M25+M29+M30+M31+M32+M24</f>
        <v>51846426</v>
      </c>
      <c r="N21" s="283">
        <f t="shared" si="6"/>
        <v>52805334</v>
      </c>
      <c r="O21" s="283">
        <f>O22+O23+O25+O29+O30+O31+O32</f>
        <v>53489116</v>
      </c>
      <c r="P21" s="283">
        <f>P22+P23+P25+P29+P30+P31+P32</f>
        <v>53489116</v>
      </c>
      <c r="Q21" s="283">
        <f>Q22+Q23+Q25+Q29+Q30+Q31+Q32</f>
        <v>0</v>
      </c>
      <c r="R21" s="754">
        <f t="shared" si="3"/>
        <v>1.012949108512409</v>
      </c>
      <c r="S21" s="361">
        <f aca="true" t="shared" si="7" ref="S21:X21">S22+S23+S25+S29+S30+S31+S32</f>
        <v>0</v>
      </c>
      <c r="T21" s="283">
        <f t="shared" si="7"/>
        <v>0</v>
      </c>
      <c r="U21" s="283">
        <f t="shared" si="7"/>
        <v>0</v>
      </c>
      <c r="V21" s="283">
        <f t="shared" si="7"/>
        <v>0</v>
      </c>
      <c r="W21" s="283">
        <f t="shared" si="7"/>
        <v>0</v>
      </c>
      <c r="X21" s="283">
        <f t="shared" si="7"/>
        <v>0</v>
      </c>
    </row>
    <row r="22" spans="1:24" ht="21.75" customHeight="1">
      <c r="A22" s="103"/>
      <c r="B22" s="104" t="s">
        <v>40</v>
      </c>
      <c r="C22" s="1032" t="s">
        <v>309</v>
      </c>
      <c r="D22" s="1032"/>
      <c r="E22" s="362">
        <f>'3.sz.m Önk  bev.'!E22+'5.2 sz. m ÁMK'!D9</f>
        <v>32941000</v>
      </c>
      <c r="F22" s="284">
        <f>'3.sz.m Önk  bev.'!F22+'5.2 sz. m ÁMK'!E9</f>
        <v>32941000</v>
      </c>
      <c r="G22" s="284">
        <f>'3.sz.m Önk  bev.'!G22+'5.1 sz. m Köz Hiv'!F10+'5.2 sz. m ÁMK'!F10</f>
        <v>9892100</v>
      </c>
      <c r="H22" s="284">
        <f>'3.sz.m Önk  bev.'!H22+'5.1 sz. m Köz Hiv'!G10+'5.2 sz. m ÁMK'!G10</f>
        <v>15338585</v>
      </c>
      <c r="I22" s="284">
        <f>'3.sz.m Önk  bev.'!I22+'5.1 sz. m Köz Hiv'!H10+'5.2 sz. m ÁMK'!H10</f>
        <v>15422185</v>
      </c>
      <c r="J22" s="284">
        <f>'3.sz.m Önk  bev.'!J22+'5.2 sz. m ÁMK'!I9+'5.1 sz. m Köz Hiv'!I9</f>
        <v>0</v>
      </c>
      <c r="K22" s="362">
        <f>'3.sz.m Önk  bev.'!L22+'5.2 sz. m ÁMK'!L9</f>
        <v>32941000</v>
      </c>
      <c r="L22" s="284">
        <f>'3.sz.m Önk  bev.'!M22+'5.2 sz. m ÁMK'!M9</f>
        <v>32941000</v>
      </c>
      <c r="M22" s="979">
        <f>'3.sz.m Önk  bev.'!N22+'5.1 sz. m Köz Hiv'!N10+'5.2 sz. m ÁMK'!N10</f>
        <v>9892100</v>
      </c>
      <c r="N22" s="284">
        <f>'3.sz.m Önk  bev.'!O22+'5.2 sz. m ÁMK'!O9+'5.1 sz. m Köz Hiv'!O9</f>
        <v>34057746</v>
      </c>
      <c r="O22" s="284">
        <f>'3.sz.m Önk  bev.'!P22+'5.2 sz. m ÁMK'!P9+'5.1 sz. m Köz Hiv'!P9</f>
        <v>34144946</v>
      </c>
      <c r="P22" s="284">
        <f>'3.sz.m Önk  bev.'!P22+'5.2 sz. m ÁMK'!P9+'5.1 sz. m Köz Hiv'!P9</f>
        <v>34144946</v>
      </c>
      <c r="Q22" s="284">
        <f>'3.sz.m Önk  bev.'!Q22+'5.2 sz. m ÁMK'!Q9+'5.1 sz. m Köz Hiv'!Q9</f>
        <v>0</v>
      </c>
      <c r="R22" s="759">
        <f t="shared" si="3"/>
        <v>1.0025603573413226</v>
      </c>
      <c r="S22" s="362">
        <v>0</v>
      </c>
      <c r="T22" s="284"/>
      <c r="U22" s="284"/>
      <c r="V22" s="284"/>
      <c r="W22" s="284"/>
      <c r="X22" s="284"/>
    </row>
    <row r="23" spans="1:24" ht="21.75" customHeight="1">
      <c r="A23" s="102"/>
      <c r="B23" s="98" t="s">
        <v>41</v>
      </c>
      <c r="C23" s="1020" t="s">
        <v>310</v>
      </c>
      <c r="D23" s="1020"/>
      <c r="E23" s="365">
        <f>'3.sz.m Önk  bev.'!E23</f>
        <v>5783000</v>
      </c>
      <c r="F23" s="286">
        <f>'3.sz.m Önk  bev.'!F23</f>
        <v>5783000</v>
      </c>
      <c r="G23" s="284">
        <f>'3.sz.m Önk  bev.'!G23+'5.2 sz. m ÁMK'!F11</f>
        <v>11431017</v>
      </c>
      <c r="H23" s="284">
        <f>'3.sz.m Önk  bev.'!H23+'5.2 sz. m ÁMK'!G11</f>
        <v>11431017</v>
      </c>
      <c r="I23" s="284">
        <f>'3.sz.m Önk  bev.'!I23+'5.2 sz. m ÁMK'!H11</f>
        <v>11431017</v>
      </c>
      <c r="J23" s="286">
        <f>'3.sz.m Önk  bev.'!J23</f>
        <v>0</v>
      </c>
      <c r="K23" s="365">
        <f>'3.sz.m Önk  bev.'!L23</f>
        <v>5783000</v>
      </c>
      <c r="L23" s="286">
        <f>'3.sz.m Önk  bev.'!M23</f>
        <v>5783000</v>
      </c>
      <c r="M23" s="286">
        <f>'3.sz.m Önk  bev.'!N23+'5.2 sz. m ÁMK'!N11</f>
        <v>11431017</v>
      </c>
      <c r="N23" s="286">
        <f>'3.sz.m Önk  bev.'!O23</f>
        <v>5783000</v>
      </c>
      <c r="O23" s="286">
        <f>'3.sz.m Önk  bev.'!P23</f>
        <v>5783000</v>
      </c>
      <c r="P23" s="286">
        <f>'3.sz.m Önk  bev.'!P23</f>
        <v>5783000</v>
      </c>
      <c r="Q23" s="286">
        <f>'3.sz.m Önk  bev.'!Q23</f>
        <v>0</v>
      </c>
      <c r="R23" s="744">
        <f t="shared" si="3"/>
        <v>1</v>
      </c>
      <c r="S23" s="365">
        <v>0</v>
      </c>
      <c r="T23" s="286"/>
      <c r="U23" s="286"/>
      <c r="V23" s="286"/>
      <c r="W23" s="286"/>
      <c r="X23" s="286"/>
    </row>
    <row r="24" spans="1:24" ht="21.75" customHeight="1">
      <c r="A24" s="102"/>
      <c r="B24" s="98" t="s">
        <v>567</v>
      </c>
      <c r="C24" s="1020" t="s">
        <v>563</v>
      </c>
      <c r="D24" s="1021"/>
      <c r="E24" s="365"/>
      <c r="F24" s="286"/>
      <c r="G24" s="284">
        <f>'5.2 sz. m ÁMK'!F13</f>
        <v>10073000</v>
      </c>
      <c r="H24" s="284">
        <f>'5.2 sz. m ÁMK'!G13</f>
        <v>4814000</v>
      </c>
      <c r="I24" s="284">
        <f>'5.2 sz. m ÁMK'!H13</f>
        <v>4814000</v>
      </c>
      <c r="J24" s="286"/>
      <c r="K24" s="365"/>
      <c r="L24" s="286"/>
      <c r="M24" s="286">
        <f>'5.2 sz. m ÁMK'!F13</f>
        <v>10073000</v>
      </c>
      <c r="N24" s="286"/>
      <c r="O24" s="286"/>
      <c r="P24" s="286"/>
      <c r="Q24" s="286"/>
      <c r="R24" s="744"/>
      <c r="S24" s="365"/>
      <c r="T24" s="286"/>
      <c r="U24" s="286"/>
      <c r="V24" s="286"/>
      <c r="W24" s="286"/>
      <c r="X24" s="286"/>
    </row>
    <row r="25" spans="1:24" ht="21.75" customHeight="1">
      <c r="A25" s="102"/>
      <c r="B25" s="98" t="s">
        <v>278</v>
      </c>
      <c r="C25" s="1020" t="s">
        <v>311</v>
      </c>
      <c r="D25" s="1020"/>
      <c r="E25" s="365">
        <f aca="true" t="shared" si="8" ref="E25:N25">SUM(E26:E28)</f>
        <v>9403508</v>
      </c>
      <c r="F25" s="286">
        <f t="shared" si="8"/>
        <v>9403508</v>
      </c>
      <c r="G25" s="286">
        <f t="shared" si="8"/>
        <v>11391016</v>
      </c>
      <c r="H25" s="286">
        <f>SUM(H26:H28)</f>
        <v>11924870</v>
      </c>
      <c r="I25" s="286">
        <f>SUM(I26:I28)</f>
        <v>11924870</v>
      </c>
      <c r="J25" s="286">
        <f t="shared" si="8"/>
        <v>0</v>
      </c>
      <c r="K25" s="365">
        <f t="shared" si="8"/>
        <v>9403508</v>
      </c>
      <c r="L25" s="286">
        <f t="shared" si="8"/>
        <v>9403508</v>
      </c>
      <c r="M25" s="286">
        <f t="shared" si="8"/>
        <v>11391016</v>
      </c>
      <c r="N25" s="286">
        <f t="shared" si="8"/>
        <v>10404870</v>
      </c>
      <c r="O25" s="286">
        <f>SUM(O26:O28)</f>
        <v>10404870</v>
      </c>
      <c r="P25" s="286">
        <f>SUM(P26:P28)</f>
        <v>10404870</v>
      </c>
      <c r="Q25" s="286">
        <f>SUM(Q26:Q28)</f>
        <v>0</v>
      </c>
      <c r="R25" s="744">
        <f t="shared" si="3"/>
        <v>1</v>
      </c>
      <c r="S25" s="365">
        <v>0</v>
      </c>
      <c r="T25" s="286"/>
      <c r="U25" s="286">
        <f>SUM(U26:U28)</f>
        <v>0</v>
      </c>
      <c r="V25" s="286">
        <f>SUM(V26:V28)</f>
        <v>0</v>
      </c>
      <c r="W25" s="286">
        <f>SUM(W26:W28)</f>
        <v>0</v>
      </c>
      <c r="X25" s="286">
        <f>SUM(X26:X28)</f>
        <v>0</v>
      </c>
    </row>
    <row r="26" spans="1:24" ht="31.5" customHeight="1">
      <c r="A26" s="102"/>
      <c r="B26" s="98"/>
      <c r="C26" s="98" t="s">
        <v>568</v>
      </c>
      <c r="D26" s="325" t="s">
        <v>312</v>
      </c>
      <c r="E26" s="365">
        <f>'3.sz.m Önk  bev.'!E25</f>
        <v>9403508</v>
      </c>
      <c r="F26" s="286">
        <f>'3.sz.m Önk  bev.'!F25</f>
        <v>9403508</v>
      </c>
      <c r="G26" s="286">
        <f>'3.sz.m Önk  bev.'!G25+'5.2 sz. m ÁMK'!F12</f>
        <v>11000658</v>
      </c>
      <c r="H26" s="286">
        <f>'3.sz.m Önk  bev.'!H25+'5.2 sz. m ÁMK'!G12</f>
        <v>11534512</v>
      </c>
      <c r="I26" s="286">
        <f>'3.sz.m Önk  bev.'!I25+'5.2 sz. m ÁMK'!H12</f>
        <v>11534512</v>
      </c>
      <c r="J26" s="286">
        <f>'3.sz.m Önk  bev.'!J25</f>
        <v>0</v>
      </c>
      <c r="K26" s="365">
        <f>'3.sz.m Önk  bev.'!L25</f>
        <v>9403508</v>
      </c>
      <c r="L26" s="286">
        <f>'3.sz.m Önk  bev.'!M25</f>
        <v>9403508</v>
      </c>
      <c r="M26" s="286">
        <f>'3.sz.m Önk  bev.'!N25+'5.2 sz. m ÁMK'!N12</f>
        <v>11000658</v>
      </c>
      <c r="N26" s="286">
        <f>'3.sz.m Önk  bev.'!O25</f>
        <v>10014512</v>
      </c>
      <c r="O26" s="286">
        <f>'3.sz.m Önk  bev.'!P25</f>
        <v>10014512</v>
      </c>
      <c r="P26" s="286">
        <f>'3.sz.m Önk  bev.'!P25</f>
        <v>10014512</v>
      </c>
      <c r="Q26" s="286">
        <f>'3.sz.m Önk  bev.'!Q25</f>
        <v>0</v>
      </c>
      <c r="R26" s="744">
        <f t="shared" si="3"/>
        <v>1</v>
      </c>
      <c r="S26" s="365">
        <v>0</v>
      </c>
      <c r="T26" s="286"/>
      <c r="U26" s="286">
        <f>'3.sz.m Önk  bev.'!U25</f>
        <v>0</v>
      </c>
      <c r="V26" s="286">
        <f>'3.sz.m Önk  bev.'!V25</f>
        <v>0</v>
      </c>
      <c r="W26" s="286">
        <f>'3.sz.m Önk  bev.'!W25</f>
        <v>0</v>
      </c>
      <c r="X26" s="286">
        <f>'3.sz.m Önk  bev.'!X25</f>
        <v>0</v>
      </c>
    </row>
    <row r="27" spans="1:24" ht="41.25" customHeight="1">
      <c r="A27" s="102"/>
      <c r="B27" s="98"/>
      <c r="C27" s="98" t="s">
        <v>569</v>
      </c>
      <c r="D27" s="325" t="s">
        <v>313</v>
      </c>
      <c r="E27" s="365">
        <f>'3.sz.m Önk  bev.'!E26</f>
        <v>0</v>
      </c>
      <c r="F27" s="286">
        <f>'3.sz.m Önk  bev.'!F26</f>
        <v>0</v>
      </c>
      <c r="G27" s="286">
        <f>'3.sz.m Önk  bev.'!G26</f>
        <v>390358</v>
      </c>
      <c r="H27" s="286">
        <f>'3.sz.m Önk  bev.'!H26</f>
        <v>390358</v>
      </c>
      <c r="I27" s="286">
        <f>'3.sz.m Önk  bev.'!I26</f>
        <v>390358</v>
      </c>
      <c r="J27" s="286">
        <f>'3.sz.m Önk  bev.'!J26</f>
        <v>0</v>
      </c>
      <c r="K27" s="365">
        <f>'3.sz.m Önk  bev.'!L26</f>
        <v>0</v>
      </c>
      <c r="L27" s="286">
        <f>'3.sz.m Önk  bev.'!M26</f>
        <v>0</v>
      </c>
      <c r="M27" s="286">
        <f>'3.sz.m Önk  bev.'!N26</f>
        <v>390358</v>
      </c>
      <c r="N27" s="286">
        <f>'3.sz.m Önk  bev.'!O26</f>
        <v>390358</v>
      </c>
      <c r="O27" s="286">
        <f>'3.sz.m Önk  bev.'!P26</f>
        <v>390358</v>
      </c>
      <c r="P27" s="286">
        <f>'3.sz.m Önk  bev.'!P26</f>
        <v>390358</v>
      </c>
      <c r="Q27" s="286">
        <f>'3.sz.m Önk  bev.'!Q26</f>
        <v>0</v>
      </c>
      <c r="R27" s="744">
        <f t="shared" si="3"/>
        <v>1</v>
      </c>
      <c r="S27" s="365">
        <v>0</v>
      </c>
      <c r="T27" s="286"/>
      <c r="U27" s="286"/>
      <c r="V27" s="286"/>
      <c r="W27" s="286"/>
      <c r="X27" s="286"/>
    </row>
    <row r="28" spans="1:24" ht="21.75" customHeight="1">
      <c r="A28" s="102"/>
      <c r="B28" s="98"/>
      <c r="C28" s="98" t="s">
        <v>570</v>
      </c>
      <c r="D28" s="325" t="s">
        <v>314</v>
      </c>
      <c r="E28" s="365">
        <f>'3.sz.m Önk  bev.'!E27</f>
        <v>0</v>
      </c>
      <c r="F28" s="286">
        <f>'3.sz.m Önk  bev.'!F27</f>
        <v>0</v>
      </c>
      <c r="G28" s="286">
        <f>'3.sz.m Önk  bev.'!G27</f>
        <v>0</v>
      </c>
      <c r="H28" s="286">
        <f>'3.sz.m Önk  bev.'!H27</f>
        <v>0</v>
      </c>
      <c r="I28" s="286">
        <f>'3.sz.m Önk  bev.'!I27</f>
        <v>0</v>
      </c>
      <c r="J28" s="286">
        <f>'3.sz.m Önk  bev.'!J27</f>
        <v>0</v>
      </c>
      <c r="K28" s="365">
        <f>'3.sz.m Önk  bev.'!L27</f>
        <v>0</v>
      </c>
      <c r="L28" s="286">
        <f>'3.sz.m Önk  bev.'!M27</f>
        <v>0</v>
      </c>
      <c r="M28" s="286">
        <f>'3.sz.m Önk  bev.'!N27</f>
        <v>0</v>
      </c>
      <c r="N28" s="286">
        <f>'3.sz.m Önk  bev.'!O27</f>
        <v>0</v>
      </c>
      <c r="O28" s="286">
        <f>'3.sz.m Önk  bev.'!P27</f>
        <v>0</v>
      </c>
      <c r="P28" s="286">
        <f>'3.sz.m Önk  bev.'!P27</f>
        <v>0</v>
      </c>
      <c r="Q28" s="286">
        <f>'3.sz.m Önk  bev.'!Q27</f>
        <v>0</v>
      </c>
      <c r="R28" s="744"/>
      <c r="S28" s="365">
        <v>0</v>
      </c>
      <c r="T28" s="286"/>
      <c r="U28" s="286"/>
      <c r="V28" s="286"/>
      <c r="W28" s="286"/>
      <c r="X28" s="286"/>
    </row>
    <row r="29" spans="1:24" ht="21.75" customHeight="1">
      <c r="A29" s="102"/>
      <c r="B29" s="98" t="s">
        <v>316</v>
      </c>
      <c r="C29" s="1020" t="s">
        <v>315</v>
      </c>
      <c r="D29" s="1020"/>
      <c r="E29" s="365">
        <f>'3.sz.m Önk  bev.'!E28</f>
        <v>1561410</v>
      </c>
      <c r="F29" s="286">
        <f>'3.sz.m Önk  bev.'!F28</f>
        <v>1561410</v>
      </c>
      <c r="G29" s="286">
        <f>'3.sz.m Önk  bev.'!G28+'5.2 sz. m ÁMK'!F14</f>
        <v>8251415</v>
      </c>
      <c r="H29" s="286">
        <f>'3.sz.m Önk  bev.'!H28+'5.2 sz. m ÁMK'!G14</f>
        <v>8251415</v>
      </c>
      <c r="I29" s="286">
        <f>'3.sz.m Önk  bev.'!I28+'5.2 sz. m ÁMK'!H14</f>
        <v>8273987</v>
      </c>
      <c r="J29" s="286">
        <f>'3.sz.m Önk  bev.'!J28</f>
        <v>0</v>
      </c>
      <c r="K29" s="365">
        <f>'3.sz.m Önk  bev.'!L28</f>
        <v>1561410</v>
      </c>
      <c r="L29" s="286">
        <f>'3.sz.m Önk  bev.'!M28</f>
        <v>1561410</v>
      </c>
      <c r="M29" s="286">
        <f>'3.sz.m Önk  bev.'!N28+'5.2 sz. m ÁMK'!N14</f>
        <v>8251415</v>
      </c>
      <c r="N29" s="286">
        <f>'3.sz.m Önk  bev.'!O28</f>
        <v>1610415</v>
      </c>
      <c r="O29" s="286">
        <f>'3.sz.m Önk  bev.'!P28</f>
        <v>1632987</v>
      </c>
      <c r="P29" s="286">
        <f>'3.sz.m Önk  bev.'!P28</f>
        <v>1632987</v>
      </c>
      <c r="Q29" s="286">
        <f>'3.sz.m Önk  bev.'!Q28</f>
        <v>0</v>
      </c>
      <c r="R29" s="744">
        <f t="shared" si="3"/>
        <v>1.0140162628887586</v>
      </c>
      <c r="S29" s="365">
        <v>0</v>
      </c>
      <c r="T29" s="286"/>
      <c r="U29" s="286"/>
      <c r="V29" s="286"/>
      <c r="W29" s="286"/>
      <c r="X29" s="286"/>
    </row>
    <row r="30" spans="1:24" ht="21.75" customHeight="1" hidden="1">
      <c r="A30" s="106"/>
      <c r="B30" s="107" t="s">
        <v>318</v>
      </c>
      <c r="C30" s="1020" t="s">
        <v>317</v>
      </c>
      <c r="D30" s="1021"/>
      <c r="E30" s="365">
        <f>'3.sz.m Önk  bev.'!E29</f>
        <v>0</v>
      </c>
      <c r="F30" s="286">
        <f>'3.sz.m Önk  bev.'!F29</f>
        <v>0</v>
      </c>
      <c r="G30" s="286">
        <f>'3.sz.m Önk  bev.'!G29</f>
        <v>0</v>
      </c>
      <c r="H30" s="286">
        <f>'3.sz.m Önk  bev.'!H29</f>
        <v>0</v>
      </c>
      <c r="I30" s="286">
        <f>'3.sz.m Önk  bev.'!I29</f>
        <v>0</v>
      </c>
      <c r="J30" s="286">
        <f>'3.sz.m Önk  bev.'!J29</f>
        <v>0</v>
      </c>
      <c r="K30" s="365">
        <f>'3.sz.m Önk  bev.'!L29</f>
        <v>0</v>
      </c>
      <c r="L30" s="286">
        <f>'3.sz.m Önk  bev.'!M29</f>
        <v>0</v>
      </c>
      <c r="M30" s="286">
        <f>'3.sz.m Önk  bev.'!N29</f>
        <v>0</v>
      </c>
      <c r="N30" s="286">
        <f>'3.sz.m Önk  bev.'!O29</f>
        <v>0</v>
      </c>
      <c r="O30" s="286">
        <f>'3.sz.m Önk  bev.'!P29</f>
        <v>0</v>
      </c>
      <c r="P30" s="286">
        <f>'3.sz.m Önk  bev.'!P29</f>
        <v>0</v>
      </c>
      <c r="Q30" s="286">
        <f>'3.sz.m Önk  bev.'!Q29</f>
        <v>0</v>
      </c>
      <c r="R30" s="744"/>
      <c r="S30" s="365">
        <v>0</v>
      </c>
      <c r="T30" s="286"/>
      <c r="U30" s="286"/>
      <c r="V30" s="286"/>
      <c r="W30" s="286"/>
      <c r="X30" s="286"/>
    </row>
    <row r="31" spans="1:24" ht="21.75" customHeight="1">
      <c r="A31" s="106"/>
      <c r="B31" s="107" t="s">
        <v>318</v>
      </c>
      <c r="C31" s="1020" t="s">
        <v>319</v>
      </c>
      <c r="D31" s="1021"/>
      <c r="E31" s="365">
        <f>'3.sz.m Önk  bev.'!E30</f>
        <v>400000</v>
      </c>
      <c r="F31" s="286">
        <f>'3.sz.m Önk  bev.'!F30</f>
        <v>400000</v>
      </c>
      <c r="G31" s="286">
        <f>'3.sz.m Önk  bev.'!G30+'5.1 sz. m Köz Hiv'!F11+'5.2 sz. m ÁMK'!F15</f>
        <v>401500</v>
      </c>
      <c r="H31" s="286">
        <f>'3.sz.m Önk  bev.'!H30+'5.1 sz. m Köz Hiv'!G11+'5.2 sz. m ÁMK'!G15</f>
        <v>402700</v>
      </c>
      <c r="I31" s="286">
        <f>'3.sz.m Önk  bev.'!I30+'5.1 sz. m Köz Hiv'!H11+'5.2 sz. m ÁMK'!H15</f>
        <v>402700</v>
      </c>
      <c r="J31" s="286">
        <f>'3.sz.m Önk  bev.'!J30</f>
        <v>0</v>
      </c>
      <c r="K31" s="365">
        <f>'3.sz.m Önk  bev.'!L30</f>
        <v>400000</v>
      </c>
      <c r="L31" s="286">
        <f>'3.sz.m Önk  bev.'!M30</f>
        <v>400000</v>
      </c>
      <c r="M31" s="286">
        <f>'3.sz.m Önk  bev.'!N30+'5.1 sz. m Köz Hiv'!N11+'5.2 sz. m ÁMK'!N15</f>
        <v>401500</v>
      </c>
      <c r="N31" s="286">
        <f>'3.sz.m Önk  bev.'!O30</f>
        <v>400000</v>
      </c>
      <c r="O31" s="286">
        <f>'3.sz.m Önk  bev.'!P30</f>
        <v>400000</v>
      </c>
      <c r="P31" s="286">
        <f>'3.sz.m Önk  bev.'!P30</f>
        <v>400000</v>
      </c>
      <c r="Q31" s="286">
        <f>'3.sz.m Önk  bev.'!Q30</f>
        <v>0</v>
      </c>
      <c r="R31" s="744">
        <f t="shared" si="3"/>
        <v>1</v>
      </c>
      <c r="S31" s="365">
        <v>0</v>
      </c>
      <c r="T31" s="286"/>
      <c r="U31" s="286"/>
      <c r="V31" s="286"/>
      <c r="W31" s="286"/>
      <c r="X31" s="286"/>
    </row>
    <row r="32" spans="1:24" ht="21.75" customHeight="1" thickBot="1">
      <c r="A32" s="106"/>
      <c r="B32" s="107" t="s">
        <v>571</v>
      </c>
      <c r="C32" s="1025" t="s">
        <v>72</v>
      </c>
      <c r="D32" s="1025"/>
      <c r="E32" s="365">
        <f>'3.sz.m Önk  bev.'!E31</f>
        <v>0</v>
      </c>
      <c r="F32" s="286">
        <f>'3.sz.m Önk  bev.'!F31</f>
        <v>0</v>
      </c>
      <c r="G32" s="286">
        <f>'3.sz.m Önk  bev.'!G31+'5.1 sz. m Köz Hiv'!F12+'5.2 sz. m ÁMK'!F16</f>
        <v>406378</v>
      </c>
      <c r="H32" s="286">
        <f>'3.sz.m Önk  bev.'!H31+'5.1 sz. m Köz Hiv'!G12+'5.2 sz. m ÁMK'!G16</f>
        <v>642747</v>
      </c>
      <c r="I32" s="286">
        <f>'3.sz.m Önk  bev.'!I31+'5.1 sz. m Köz Hiv'!H12+'5.2 sz. m ÁMK'!H16</f>
        <v>1220357</v>
      </c>
      <c r="J32" s="286">
        <f>'3.sz.m Önk  bev.'!J31</f>
        <v>0</v>
      </c>
      <c r="K32" s="365">
        <f>'3.sz.m Önk  bev.'!L31</f>
        <v>0</v>
      </c>
      <c r="L32" s="286">
        <f>'3.sz.m Önk  bev.'!M31</f>
        <v>0</v>
      </c>
      <c r="M32" s="286">
        <f>'3.sz.m Önk  bev.'!N31+'5.1 sz. m Köz Hiv'!N12+'5.2 sz. m ÁMK'!N16</f>
        <v>406378</v>
      </c>
      <c r="N32" s="286">
        <f>'3.sz.m Önk  bev.'!O31</f>
        <v>549303</v>
      </c>
      <c r="O32" s="286">
        <f>'3.sz.m Önk  bev.'!P31</f>
        <v>1123313</v>
      </c>
      <c r="P32" s="286">
        <f>'3.sz.m Önk  bev.'!P31</f>
        <v>1123313</v>
      </c>
      <c r="Q32" s="286">
        <f>'3.sz.m Önk  bev.'!Q31</f>
        <v>0</v>
      </c>
      <c r="R32" s="744">
        <f t="shared" si="3"/>
        <v>2.04497881861195</v>
      </c>
      <c r="S32" s="365">
        <v>0</v>
      </c>
      <c r="T32" s="286"/>
      <c r="U32" s="286"/>
      <c r="V32" s="286"/>
      <c r="W32" s="286"/>
      <c r="X32" s="286"/>
    </row>
    <row r="33" spans="1:24" ht="42.75" customHeight="1" thickBot="1">
      <c r="A33" s="109" t="s">
        <v>10</v>
      </c>
      <c r="B33" s="1024" t="s">
        <v>320</v>
      </c>
      <c r="C33" s="1024"/>
      <c r="D33" s="1024"/>
      <c r="E33" s="356">
        <f aca="true" t="shared" si="9" ref="E33:N33">SUM(E34:E38)</f>
        <v>279000033</v>
      </c>
      <c r="F33" s="112">
        <f t="shared" si="9"/>
        <v>279000033</v>
      </c>
      <c r="G33" s="112">
        <f t="shared" si="9"/>
        <v>279880420</v>
      </c>
      <c r="H33" s="112">
        <f>SUM(H34:H38)</f>
        <v>279593671</v>
      </c>
      <c r="I33" s="112">
        <f>SUM(I34:I38)</f>
        <v>278790393</v>
      </c>
      <c r="J33" s="112">
        <f t="shared" si="9"/>
        <v>0</v>
      </c>
      <c r="K33" s="356">
        <f t="shared" si="9"/>
        <v>279000033</v>
      </c>
      <c r="L33" s="112">
        <f t="shared" si="9"/>
        <v>279000033</v>
      </c>
      <c r="M33" s="112">
        <f t="shared" si="9"/>
        <v>279880420</v>
      </c>
      <c r="N33" s="112">
        <f t="shared" si="9"/>
        <v>279593671</v>
      </c>
      <c r="O33" s="112">
        <f>SUM(O34:O38)</f>
        <v>278790393</v>
      </c>
      <c r="P33" s="112">
        <f>SUM(P34:P38)</f>
        <v>276206174</v>
      </c>
      <c r="Q33" s="112">
        <f>SUM(Q34:Q38)</f>
        <v>0</v>
      </c>
      <c r="R33" s="760">
        <f t="shared" si="3"/>
        <v>0.987884214303263</v>
      </c>
      <c r="S33" s="356">
        <v>0</v>
      </c>
      <c r="T33" s="112"/>
      <c r="U33" s="112"/>
      <c r="V33" s="112"/>
      <c r="W33" s="112"/>
      <c r="X33" s="112"/>
    </row>
    <row r="34" spans="1:24" ht="21.75" customHeight="1">
      <c r="A34" s="103"/>
      <c r="B34" s="107" t="s">
        <v>43</v>
      </c>
      <c r="C34" s="1022" t="s">
        <v>321</v>
      </c>
      <c r="D34" s="1023"/>
      <c r="E34" s="365">
        <f>'3.sz.m Önk  bev.'!E33</f>
        <v>237504190</v>
      </c>
      <c r="F34" s="286">
        <f>'3.sz.m Önk  bev.'!F33</f>
        <v>240592752</v>
      </c>
      <c r="G34" s="286">
        <f>'3.sz.m Önk  bev.'!G33</f>
        <v>245542709</v>
      </c>
      <c r="H34" s="286">
        <f>'3.sz.m Önk  bev.'!H33</f>
        <v>249468023</v>
      </c>
      <c r="I34" s="286">
        <f>'3.sz.m Önk  bev.'!I33</f>
        <v>249329042</v>
      </c>
      <c r="J34" s="286">
        <f>'3.sz.m Önk  bev.'!J33</f>
        <v>0</v>
      </c>
      <c r="K34" s="365">
        <f>'3.sz.m Önk  bev.'!L33</f>
        <v>237504190</v>
      </c>
      <c r="L34" s="286">
        <f>'3.sz.m Önk  bev.'!M33</f>
        <v>240592752</v>
      </c>
      <c r="M34" s="286">
        <f>'3.sz.m Önk  bev.'!N33</f>
        <v>244781593</v>
      </c>
      <c r="N34" s="286">
        <f>'3.sz.m Önk  bev.'!O33</f>
        <v>249468023</v>
      </c>
      <c r="O34" s="286">
        <f>'3.sz.m Önk  bev.'!P33</f>
        <v>249329042</v>
      </c>
      <c r="P34" s="286">
        <f>'3.sz.m Önk  bev.'!P33</f>
        <v>249329042</v>
      </c>
      <c r="Q34" s="286">
        <f>'3.sz.m Önk  bev.'!Q33</f>
        <v>0</v>
      </c>
      <c r="R34" s="761">
        <f t="shared" si="3"/>
        <v>0.9994428905222855</v>
      </c>
      <c r="S34" s="365">
        <v>0</v>
      </c>
      <c r="T34" s="286"/>
      <c r="U34" s="286"/>
      <c r="V34" s="286"/>
      <c r="W34" s="286"/>
      <c r="X34" s="286"/>
    </row>
    <row r="35" spans="1:24" ht="21.75" customHeight="1">
      <c r="A35" s="102"/>
      <c r="B35" s="107" t="s">
        <v>44</v>
      </c>
      <c r="C35" s="1020" t="s">
        <v>584</v>
      </c>
      <c r="D35" s="1021"/>
      <c r="E35" s="365">
        <f>'3.sz.m Önk  bev.'!E34</f>
        <v>0</v>
      </c>
      <c r="F35" s="286">
        <f>'3.sz.m Önk  bev.'!F34</f>
        <v>0</v>
      </c>
      <c r="G35" s="286">
        <f>'3.sz.m Önk  bev.'!G34</f>
        <v>3399025</v>
      </c>
      <c r="H35" s="286">
        <f>'3.sz.m Önk  bev.'!H34</f>
        <v>5181216</v>
      </c>
      <c r="I35" s="286">
        <f>'3.sz.m Önk  bev.'!I34</f>
        <v>5181216</v>
      </c>
      <c r="J35" s="286">
        <f>'3.sz.m Önk  bev.'!J34</f>
        <v>0</v>
      </c>
      <c r="K35" s="365">
        <f>'3.sz.m Önk  bev.'!L34</f>
        <v>0</v>
      </c>
      <c r="L35" s="286">
        <f>'3.sz.m Önk  bev.'!M34</f>
        <v>0</v>
      </c>
      <c r="M35" s="286">
        <f>'3.sz.m Önk  bev.'!N34</f>
        <v>3399025</v>
      </c>
      <c r="N35" s="286">
        <f>'3.sz.m Önk  bev.'!O34</f>
        <v>5181216</v>
      </c>
      <c r="O35" s="286">
        <f>'3.sz.m Önk  bev.'!P34</f>
        <v>5181216</v>
      </c>
      <c r="P35" s="286">
        <f>'3.sz.m Önk  bev.'!P34</f>
        <v>5181216</v>
      </c>
      <c r="Q35" s="286">
        <f>'3.sz.m Önk  bev.'!Q34</f>
        <v>0</v>
      </c>
      <c r="R35" s="762">
        <f t="shared" si="3"/>
        <v>1</v>
      </c>
      <c r="S35" s="365">
        <v>0</v>
      </c>
      <c r="T35" s="286"/>
      <c r="U35" s="286"/>
      <c r="V35" s="286"/>
      <c r="W35" s="286"/>
      <c r="X35" s="286"/>
    </row>
    <row r="36" spans="1:24" ht="21.75" customHeight="1">
      <c r="A36" s="102"/>
      <c r="B36" s="107" t="s">
        <v>69</v>
      </c>
      <c r="C36" s="1020" t="s">
        <v>480</v>
      </c>
      <c r="D36" s="1020"/>
      <c r="E36" s="365">
        <f>'3.sz.m Önk  bev.'!E35</f>
        <v>0</v>
      </c>
      <c r="F36" s="286">
        <f>'3.sz.m Önk  bev.'!F35</f>
        <v>0</v>
      </c>
      <c r="G36" s="286">
        <f>'3.sz.m Önk  bev.'!G35</f>
        <v>0</v>
      </c>
      <c r="H36" s="286">
        <f>'3.sz.m Önk  bev.'!H35</f>
        <v>0</v>
      </c>
      <c r="I36" s="286">
        <f>'3.sz.m Önk  bev.'!I35</f>
        <v>0</v>
      </c>
      <c r="J36" s="286">
        <f>'3.sz.m Önk  bev.'!J35</f>
        <v>0</v>
      </c>
      <c r="K36" s="365">
        <f>'3.sz.m Önk  bev.'!L35</f>
        <v>0</v>
      </c>
      <c r="L36" s="286">
        <f>'3.sz.m Önk  bev.'!M35</f>
        <v>0</v>
      </c>
      <c r="M36" s="286">
        <f>'3.sz.m Önk  bev.'!N35</f>
        <v>0</v>
      </c>
      <c r="N36" s="286">
        <f>'3.sz.m Önk  bev.'!O35</f>
        <v>0</v>
      </c>
      <c r="O36" s="286">
        <f>'3.sz.m Önk  bev.'!P35</f>
        <v>0</v>
      </c>
      <c r="P36" s="286">
        <f>'3.sz.m Önk  bev.'!P35</f>
        <v>0</v>
      </c>
      <c r="Q36" s="286">
        <f>'3.sz.m Önk  bev.'!Q35</f>
        <v>0</v>
      </c>
      <c r="R36" s="762" t="e">
        <f t="shared" si="3"/>
        <v>#DIV/0!</v>
      </c>
      <c r="S36" s="365">
        <v>0</v>
      </c>
      <c r="T36" s="286"/>
      <c r="U36" s="286"/>
      <c r="V36" s="286"/>
      <c r="W36" s="286"/>
      <c r="X36" s="286"/>
    </row>
    <row r="37" spans="1:24" ht="21.75" customHeight="1">
      <c r="A37" s="102"/>
      <c r="B37" s="107" t="s">
        <v>70</v>
      </c>
      <c r="C37" s="1020" t="s">
        <v>372</v>
      </c>
      <c r="D37" s="1021"/>
      <c r="E37" s="365"/>
      <c r="F37" s="286"/>
      <c r="G37" s="286">
        <f>'3.sz.m Önk  bev.'!G36</f>
        <v>0</v>
      </c>
      <c r="H37" s="286">
        <f>'3.sz.m Önk  bev.'!H36</f>
        <v>0</v>
      </c>
      <c r="I37" s="286">
        <f>'3.sz.m Önk  bev.'!I36</f>
        <v>0</v>
      </c>
      <c r="J37" s="286">
        <f>'3.sz.m Önk  bev.'!J36</f>
        <v>0</v>
      </c>
      <c r="K37" s="365"/>
      <c r="L37" s="286"/>
      <c r="M37" s="286"/>
      <c r="N37" s="286"/>
      <c r="O37" s="286"/>
      <c r="P37" s="286"/>
      <c r="Q37" s="286"/>
      <c r="R37" s="762"/>
      <c r="S37" s="365">
        <v>0</v>
      </c>
      <c r="T37" s="286"/>
      <c r="U37" s="286"/>
      <c r="V37" s="286"/>
      <c r="W37" s="286"/>
      <c r="X37" s="286"/>
    </row>
    <row r="38" spans="1:24" ht="45.75" customHeight="1">
      <c r="A38" s="102"/>
      <c r="B38" s="107" t="s">
        <v>368</v>
      </c>
      <c r="C38" s="1020" t="s">
        <v>322</v>
      </c>
      <c r="D38" s="1021"/>
      <c r="E38" s="365">
        <f aca="true" t="shared" si="10" ref="E38:N38">SUM(E39:E41)</f>
        <v>41495843</v>
      </c>
      <c r="F38" s="286">
        <f t="shared" si="10"/>
        <v>38407281</v>
      </c>
      <c r="G38" s="286">
        <f t="shared" si="10"/>
        <v>30938686</v>
      </c>
      <c r="H38" s="286">
        <f>SUM(H39:H41)</f>
        <v>24944432</v>
      </c>
      <c r="I38" s="286">
        <f>SUM(I39:I41)</f>
        <v>24280135</v>
      </c>
      <c r="J38" s="286">
        <f t="shared" si="10"/>
        <v>0</v>
      </c>
      <c r="K38" s="365">
        <f t="shared" si="10"/>
        <v>41495843</v>
      </c>
      <c r="L38" s="286">
        <f t="shared" si="10"/>
        <v>38407281</v>
      </c>
      <c r="M38" s="286">
        <f t="shared" si="10"/>
        <v>31699802</v>
      </c>
      <c r="N38" s="286">
        <f t="shared" si="10"/>
        <v>24944432</v>
      </c>
      <c r="O38" s="286">
        <f>SUM(O39:O41)</f>
        <v>24280135</v>
      </c>
      <c r="P38" s="286">
        <f>SUM(P39:P41)</f>
        <v>21695916</v>
      </c>
      <c r="Q38" s="286">
        <f>SUM(Q39:Q41)</f>
        <v>0</v>
      </c>
      <c r="R38" s="762">
        <f t="shared" si="3"/>
        <v>0.869769894940883</v>
      </c>
      <c r="S38" s="365">
        <v>0</v>
      </c>
      <c r="T38" s="286"/>
      <c r="U38" s="286"/>
      <c r="V38" s="286"/>
      <c r="W38" s="286"/>
      <c r="X38" s="286"/>
    </row>
    <row r="39" spans="1:24" ht="21.75" customHeight="1">
      <c r="A39" s="102"/>
      <c r="B39" s="107"/>
      <c r="C39" s="104" t="s">
        <v>369</v>
      </c>
      <c r="D39" s="618" t="s">
        <v>34</v>
      </c>
      <c r="E39" s="365">
        <f>'3.sz.m Önk  bev.'!E38</f>
        <v>7690835</v>
      </c>
      <c r="F39" s="286">
        <f>'3.sz.m Önk  bev.'!F38</f>
        <v>7690835</v>
      </c>
      <c r="G39" s="286">
        <f>'3.sz.m Önk  bev.'!G38</f>
        <v>7690835</v>
      </c>
      <c r="H39" s="286">
        <f>'3.sz.m Önk  bev.'!H38</f>
        <v>7690835</v>
      </c>
      <c r="I39" s="286">
        <f>'3.sz.m Önk  bev.'!I38</f>
        <v>7690835</v>
      </c>
      <c r="J39" s="286">
        <f>'3.sz.m Önk  bev.'!J38</f>
        <v>0</v>
      </c>
      <c r="K39" s="365">
        <f>'3.sz.m Önk  bev.'!L38</f>
        <v>7690835</v>
      </c>
      <c r="L39" s="286">
        <f>'3.sz.m Önk  bev.'!M38</f>
        <v>7690835</v>
      </c>
      <c r="M39" s="286">
        <f>'3.sz.m Önk  bev.'!N38</f>
        <v>7690835</v>
      </c>
      <c r="N39" s="286">
        <f>'3.sz.m Önk  bev.'!O38</f>
        <v>7690835</v>
      </c>
      <c r="O39" s="286">
        <f>'3.sz.m Önk  bev.'!P38</f>
        <v>7690835</v>
      </c>
      <c r="P39" s="286">
        <f>'3.sz.m Önk  bev.'!P38</f>
        <v>7690835</v>
      </c>
      <c r="Q39" s="286">
        <f>'3.sz.m Önk  bev.'!Q38</f>
        <v>0</v>
      </c>
      <c r="R39" s="762">
        <f t="shared" si="3"/>
        <v>1</v>
      </c>
      <c r="S39" s="365">
        <v>0</v>
      </c>
      <c r="T39" s="286"/>
      <c r="U39" s="286"/>
      <c r="V39" s="286"/>
      <c r="W39" s="286"/>
      <c r="X39" s="286"/>
    </row>
    <row r="40" spans="1:24" ht="21.75" customHeight="1">
      <c r="A40" s="102"/>
      <c r="B40" s="107"/>
      <c r="C40" s="98" t="s">
        <v>370</v>
      </c>
      <c r="D40" s="325" t="s">
        <v>33</v>
      </c>
      <c r="E40" s="365">
        <f>'3.sz.m Önk  bev.'!E39+'5.2 sz. m ÁMK'!D20</f>
        <v>0</v>
      </c>
      <c r="F40" s="286">
        <f>'3.sz.m Önk  bev.'!F39+'5.2 sz. m ÁMK'!E20</f>
        <v>0</v>
      </c>
      <c r="G40" s="286">
        <f>'3.sz.m Önk  bev.'!G39+'5.2 sz. m ÁMK'!F20</f>
        <v>0</v>
      </c>
      <c r="H40" s="286">
        <f>'3.sz.m Önk  bev.'!H39+'5.2 sz. m ÁMK'!G20</f>
        <v>0</v>
      </c>
      <c r="I40" s="286">
        <f>'3.sz.m Önk  bev.'!I39+'5.2 sz. m ÁMK'!H20</f>
        <v>0</v>
      </c>
      <c r="J40" s="286">
        <f>'3.sz.m Önk  bev.'!J39+'5.2 sz. m ÁMK'!I20</f>
        <v>0</v>
      </c>
      <c r="K40" s="365">
        <f>'3.sz.m Önk  bev.'!L39+'5.2 sz. m ÁMK'!L20</f>
        <v>0</v>
      </c>
      <c r="L40" s="286">
        <f>'3.sz.m Önk  bev.'!M39+'5.2 sz. m ÁMK'!M20</f>
        <v>0</v>
      </c>
      <c r="M40" s="286">
        <f>'3.sz.m Önk  bev.'!N39+'5.2 sz. m ÁMK'!N20</f>
        <v>0</v>
      </c>
      <c r="N40" s="286">
        <f>'3.sz.m Önk  bev.'!O39+'5.2 sz. m ÁMK'!O20</f>
        <v>0</v>
      </c>
      <c r="O40" s="286">
        <f>'3.sz.m Önk  bev.'!P39+'5.2 sz. m ÁMK'!P20</f>
        <v>0</v>
      </c>
      <c r="P40" s="286">
        <f>'3.sz.m Önk  bev.'!P39+'5.2 sz. m ÁMK'!P20</f>
        <v>0</v>
      </c>
      <c r="Q40" s="286">
        <f>'3.sz.m Önk  bev.'!Q39+'5.2 sz. m ÁMK'!Q20</f>
        <v>0</v>
      </c>
      <c r="R40" s="762"/>
      <c r="S40" s="365">
        <v>0</v>
      </c>
      <c r="T40" s="286"/>
      <c r="U40" s="286"/>
      <c r="V40" s="286"/>
      <c r="W40" s="286"/>
      <c r="X40" s="286"/>
    </row>
    <row r="41" spans="1:24" ht="21.75" customHeight="1" thickBot="1">
      <c r="A41" s="102"/>
      <c r="B41" s="107"/>
      <c r="C41" s="98" t="s">
        <v>371</v>
      </c>
      <c r="D41" s="325" t="s">
        <v>35</v>
      </c>
      <c r="E41" s="365">
        <f>'3.sz.m Önk  bev.'!E40+'5.1 sz. m Köz Hiv'!D15</f>
        <v>33805008</v>
      </c>
      <c r="F41" s="365">
        <f>'3.sz.m Önk  bev.'!F40+'5.1 sz. m Köz Hiv'!E15</f>
        <v>30716446</v>
      </c>
      <c r="G41" s="365">
        <f>'3.sz.m Önk  bev.'!G40+'5.1 sz. m Köz Hiv'!F15</f>
        <v>23247851</v>
      </c>
      <c r="H41" s="365">
        <f>'3.sz.m Önk  bev.'!H40+'5.1 sz. m Köz Hiv'!G15+'5.2 sz. m ÁMK'!G19</f>
        <v>17253597</v>
      </c>
      <c r="I41" s="365">
        <f>'3.sz.m Önk  bev.'!I40+'5.1 sz. m Köz Hiv'!H15+'5.2 sz. m ÁMK'!H19</f>
        <v>16589300</v>
      </c>
      <c r="J41" s="365">
        <f>'3.sz.m Önk  bev.'!J40+'5.1 sz. m Köz Hiv'!I15</f>
        <v>0</v>
      </c>
      <c r="K41" s="365">
        <f>'3.sz.m Önk  bev.'!L40+'5.1 sz. m Köz Hiv'!L15</f>
        <v>33805008</v>
      </c>
      <c r="L41" s="365">
        <f>'3.sz.m Önk  bev.'!M40+'5.1 sz. m Köz Hiv'!M15</f>
        <v>30716446</v>
      </c>
      <c r="M41" s="365">
        <f>'3.sz.m Önk  bev.'!N40+'5.1 sz. m Köz Hiv'!N15</f>
        <v>24008967</v>
      </c>
      <c r="N41" s="365">
        <f>'3.sz.m Önk  bev.'!O40+'5.1 sz. m Köz Hiv'!O15+'5.2 sz. m ÁMK'!O19</f>
        <v>17253597</v>
      </c>
      <c r="O41" s="365">
        <f>'3.sz.m Önk  bev.'!P40+'5.1 sz. m Köz Hiv'!P15+'5.2 sz. m ÁMK'!P19</f>
        <v>16589300</v>
      </c>
      <c r="P41" s="286">
        <f>'3.sz.m Önk  bev.'!P40</f>
        <v>14005081</v>
      </c>
      <c r="Q41" s="286">
        <f>'3.sz.m Önk  bev.'!Q40+'5.1 sz. m Köz Hiv'!Q15</f>
        <v>0</v>
      </c>
      <c r="R41" s="763">
        <f t="shared" si="3"/>
        <v>0.811719492462934</v>
      </c>
      <c r="S41" s="365">
        <v>0</v>
      </c>
      <c r="T41" s="286"/>
      <c r="U41" s="286"/>
      <c r="V41" s="286"/>
      <c r="W41" s="286"/>
      <c r="X41" s="286"/>
    </row>
    <row r="42" spans="1:24" ht="33" customHeight="1" thickBot="1">
      <c r="A42" s="109" t="s">
        <v>11</v>
      </c>
      <c r="B42" s="1034" t="s">
        <v>323</v>
      </c>
      <c r="C42" s="1034"/>
      <c r="D42" s="1034"/>
      <c r="E42" s="356">
        <f>SUM(E43:E44)</f>
        <v>6000000</v>
      </c>
      <c r="F42" s="112">
        <f>SUM(F43:F44)+F48</f>
        <v>6000000</v>
      </c>
      <c r="G42" s="112">
        <f>SUM(G43:G44)+G48</f>
        <v>6000000</v>
      </c>
      <c r="H42" s="112">
        <f>SUM(H43:H44)+H48</f>
        <v>7500000</v>
      </c>
      <c r="I42" s="112">
        <f>SUM(I43:I44)+I48</f>
        <v>7500000</v>
      </c>
      <c r="J42" s="112">
        <f>SUM(J43:J44)+J48</f>
        <v>0</v>
      </c>
      <c r="K42" s="356">
        <f>SUM(K43:K44)</f>
        <v>6000000</v>
      </c>
      <c r="L42" s="112">
        <f>SUM(L43:L44)</f>
        <v>6000000</v>
      </c>
      <c r="M42" s="112">
        <f>SUM(M43:M44)</f>
        <v>6000000</v>
      </c>
      <c r="N42" s="112">
        <f>SUM(N43:N44)+N48</f>
        <v>6000000</v>
      </c>
      <c r="O42" s="112">
        <f>SUM(O43:O44)+O48</f>
        <v>6000000</v>
      </c>
      <c r="P42" s="112">
        <f>SUM(P43:P44)</f>
        <v>6000000</v>
      </c>
      <c r="Q42" s="112">
        <f>SUM(Q43:Q44)</f>
        <v>0</v>
      </c>
      <c r="R42" s="760">
        <f t="shared" si="3"/>
        <v>1</v>
      </c>
      <c r="S42" s="356">
        <f aca="true" t="shared" si="11" ref="S42:X42">SUM(S43:S44)</f>
        <v>0</v>
      </c>
      <c r="T42" s="112">
        <f t="shared" si="11"/>
        <v>0</v>
      </c>
      <c r="U42" s="112">
        <f t="shared" si="11"/>
        <v>0</v>
      </c>
      <c r="V42" s="112">
        <f>SUM(V43:V44)+V48</f>
        <v>1500000</v>
      </c>
      <c r="W42" s="112">
        <f>SUM(W43:W44)+W48</f>
        <v>1500000</v>
      </c>
      <c r="X42" s="112">
        <f t="shared" si="11"/>
        <v>0</v>
      </c>
    </row>
    <row r="43" spans="1:24" ht="21.75" customHeight="1">
      <c r="A43" s="103"/>
      <c r="B43" s="110" t="s">
        <v>324</v>
      </c>
      <c r="C43" s="1032" t="s">
        <v>326</v>
      </c>
      <c r="D43" s="1032"/>
      <c r="E43" s="365">
        <f>'3.sz.m Önk  bev.'!E42</f>
        <v>0</v>
      </c>
      <c r="F43" s="286">
        <f>'3.sz.m Önk  bev.'!F42</f>
        <v>0</v>
      </c>
      <c r="G43" s="286">
        <f>'3.sz.m Önk  bev.'!G42</f>
        <v>0</v>
      </c>
      <c r="H43" s="286">
        <f>'3.sz.m Önk  bev.'!H42</f>
        <v>0</v>
      </c>
      <c r="I43" s="286">
        <f>'3.sz.m Önk  bev.'!I42</f>
        <v>0</v>
      </c>
      <c r="J43" s="286">
        <f>'3.sz.m Önk  bev.'!J42</f>
        <v>0</v>
      </c>
      <c r="K43" s="365">
        <f>'3.sz.m Önk  bev.'!L42</f>
        <v>0</v>
      </c>
      <c r="L43" s="286">
        <f>'3.sz.m Önk  bev.'!M42</f>
        <v>0</v>
      </c>
      <c r="M43" s="286">
        <f>'3.sz.m Önk  bev.'!N42</f>
        <v>0</v>
      </c>
      <c r="N43" s="286">
        <f>'3.sz.m Önk  bev.'!O42</f>
        <v>0</v>
      </c>
      <c r="O43" s="286">
        <f>'3.sz.m Önk  bev.'!P42</f>
        <v>0</v>
      </c>
      <c r="P43" s="286">
        <f>'3.sz.m Önk  bev.'!P42</f>
        <v>0</v>
      </c>
      <c r="Q43" s="286">
        <f>'3.sz.m Önk  bev.'!Q42</f>
        <v>0</v>
      </c>
      <c r="R43" s="764"/>
      <c r="S43" s="365">
        <v>0</v>
      </c>
      <c r="T43" s="286"/>
      <c r="U43" s="286"/>
      <c r="V43" s="286"/>
      <c r="W43" s="286"/>
      <c r="X43" s="286"/>
    </row>
    <row r="44" spans="1:24" ht="21.75" customHeight="1">
      <c r="A44" s="102"/>
      <c r="B44" s="99" t="s">
        <v>325</v>
      </c>
      <c r="C44" s="1020" t="s">
        <v>327</v>
      </c>
      <c r="D44" s="1020"/>
      <c r="E44" s="365">
        <f aca="true" t="shared" si="12" ref="E44:N44">SUM(E45:E47)</f>
        <v>6000000</v>
      </c>
      <c r="F44" s="286">
        <f t="shared" si="12"/>
        <v>6000000</v>
      </c>
      <c r="G44" s="286">
        <f t="shared" si="12"/>
        <v>6000000</v>
      </c>
      <c r="H44" s="286">
        <f>SUM(H45:H47)</f>
        <v>6000000</v>
      </c>
      <c r="I44" s="286">
        <f>SUM(I45:I47)</f>
        <v>6000000</v>
      </c>
      <c r="J44" s="286">
        <f t="shared" si="12"/>
        <v>0</v>
      </c>
      <c r="K44" s="365">
        <f t="shared" si="12"/>
        <v>6000000</v>
      </c>
      <c r="L44" s="286">
        <f t="shared" si="12"/>
        <v>6000000</v>
      </c>
      <c r="M44" s="286">
        <f t="shared" si="12"/>
        <v>6000000</v>
      </c>
      <c r="N44" s="286">
        <f t="shared" si="12"/>
        <v>6000000</v>
      </c>
      <c r="O44" s="286">
        <f>SUM(O45:O47)</f>
        <v>6000000</v>
      </c>
      <c r="P44" s="286">
        <f>SUM(P45:P47)</f>
        <v>6000000</v>
      </c>
      <c r="Q44" s="286">
        <f>SUM(Q45:Q47)</f>
        <v>0</v>
      </c>
      <c r="R44" s="744">
        <f t="shared" si="3"/>
        <v>1</v>
      </c>
      <c r="S44" s="365">
        <v>0</v>
      </c>
      <c r="T44" s="286"/>
      <c r="U44" s="286"/>
      <c r="V44" s="286"/>
      <c r="W44" s="286"/>
      <c r="X44" s="286"/>
    </row>
    <row r="45" spans="1:24" ht="21.75" customHeight="1">
      <c r="A45" s="102"/>
      <c r="B45" s="110"/>
      <c r="C45" s="104" t="s">
        <v>328</v>
      </c>
      <c r="D45" s="618" t="s">
        <v>34</v>
      </c>
      <c r="E45" s="365">
        <f>'3.sz.m Önk  bev.'!E44</f>
        <v>0</v>
      </c>
      <c r="F45" s="286">
        <f>'3.sz.m Önk  bev.'!F44</f>
        <v>0</v>
      </c>
      <c r="G45" s="286">
        <f>'3.sz.m Önk  bev.'!G44</f>
        <v>0</v>
      </c>
      <c r="H45" s="286">
        <f>'3.sz.m Önk  bev.'!H44</f>
        <v>0</v>
      </c>
      <c r="I45" s="286">
        <f>'3.sz.m Önk  bev.'!I44</f>
        <v>0</v>
      </c>
      <c r="J45" s="286">
        <f>'3.sz.m Önk  bev.'!J44</f>
        <v>0</v>
      </c>
      <c r="K45" s="365">
        <f>'3.sz.m Önk  bev.'!L44</f>
        <v>0</v>
      </c>
      <c r="L45" s="286">
        <f>'3.sz.m Önk  bev.'!M44</f>
        <v>0</v>
      </c>
      <c r="M45" s="286">
        <f>'3.sz.m Önk  bev.'!N44</f>
        <v>0</v>
      </c>
      <c r="N45" s="286">
        <f>'3.sz.m Önk  bev.'!O44</f>
        <v>0</v>
      </c>
      <c r="O45" s="286">
        <f>'3.sz.m Önk  bev.'!P44</f>
        <v>0</v>
      </c>
      <c r="P45" s="286">
        <f>'3.sz.m Önk  bev.'!P44</f>
        <v>0</v>
      </c>
      <c r="Q45" s="286">
        <f>'3.sz.m Önk  bev.'!Q44</f>
        <v>0</v>
      </c>
      <c r="R45" s="744"/>
      <c r="S45" s="365">
        <v>0</v>
      </c>
      <c r="T45" s="286"/>
      <c r="U45" s="286"/>
      <c r="V45" s="286"/>
      <c r="W45" s="286"/>
      <c r="X45" s="286"/>
    </row>
    <row r="46" spans="1:24" ht="21.75" customHeight="1">
      <c r="A46" s="102"/>
      <c r="B46" s="99"/>
      <c r="C46" s="98" t="s">
        <v>329</v>
      </c>
      <c r="D46" s="618" t="s">
        <v>33</v>
      </c>
      <c r="E46" s="365">
        <f>'3.sz.m Önk  bev.'!E45</f>
        <v>0</v>
      </c>
      <c r="F46" s="286">
        <f>'3.sz.m Önk  bev.'!F45</f>
        <v>0</v>
      </c>
      <c r="G46" s="286">
        <f>'3.sz.m Önk  bev.'!G45</f>
        <v>0</v>
      </c>
      <c r="H46" s="286">
        <f>'3.sz.m Önk  bev.'!H45</f>
        <v>0</v>
      </c>
      <c r="I46" s="286">
        <f>'3.sz.m Önk  bev.'!I45</f>
        <v>0</v>
      </c>
      <c r="J46" s="286">
        <f>'3.sz.m Önk  bev.'!J45</f>
        <v>0</v>
      </c>
      <c r="K46" s="365">
        <f>'3.sz.m Önk  bev.'!L45</f>
        <v>0</v>
      </c>
      <c r="L46" s="286">
        <f>'3.sz.m Önk  bev.'!M45</f>
        <v>0</v>
      </c>
      <c r="M46" s="286">
        <f>'3.sz.m Önk  bev.'!N45</f>
        <v>0</v>
      </c>
      <c r="N46" s="286">
        <f>'3.sz.m Önk  bev.'!O45</f>
        <v>0</v>
      </c>
      <c r="O46" s="286">
        <f>'3.sz.m Önk  bev.'!P45</f>
        <v>0</v>
      </c>
      <c r="P46" s="286">
        <f>'3.sz.m Önk  bev.'!P45</f>
        <v>0</v>
      </c>
      <c r="Q46" s="286">
        <f>'3.sz.m Önk  bev.'!Q45</f>
        <v>0</v>
      </c>
      <c r="R46" s="744"/>
      <c r="S46" s="365">
        <v>0</v>
      </c>
      <c r="T46" s="286"/>
      <c r="U46" s="286"/>
      <c r="V46" s="286"/>
      <c r="W46" s="286"/>
      <c r="X46" s="286"/>
    </row>
    <row r="47" spans="1:24" ht="21.75" customHeight="1">
      <c r="A47" s="106"/>
      <c r="B47" s="110"/>
      <c r="C47" s="104" t="s">
        <v>330</v>
      </c>
      <c r="D47" s="618" t="s">
        <v>331</v>
      </c>
      <c r="E47" s="365">
        <f>'3.sz.m Önk  bev.'!E46</f>
        <v>6000000</v>
      </c>
      <c r="F47" s="286">
        <f>'3.sz.m Önk  bev.'!F46</f>
        <v>6000000</v>
      </c>
      <c r="G47" s="286">
        <f>'3.sz.m Önk  bev.'!G46</f>
        <v>6000000</v>
      </c>
      <c r="H47" s="286">
        <f>'3.sz.m Önk  bev.'!H46</f>
        <v>6000000</v>
      </c>
      <c r="I47" s="286">
        <f>'3.sz.m Önk  bev.'!I46</f>
        <v>6000000</v>
      </c>
      <c r="J47" s="286">
        <f>'3.sz.m Önk  bev.'!J46</f>
        <v>0</v>
      </c>
      <c r="K47" s="365">
        <f>'3.sz.m Önk  bev.'!L46</f>
        <v>6000000</v>
      </c>
      <c r="L47" s="286">
        <f>'3.sz.m Önk  bev.'!M46</f>
        <v>6000000</v>
      </c>
      <c r="M47" s="286">
        <f>'3.sz.m Önk  bev.'!N46</f>
        <v>6000000</v>
      </c>
      <c r="N47" s="286">
        <f>'3.sz.m Önk  bev.'!O46</f>
        <v>6000000</v>
      </c>
      <c r="O47" s="286">
        <f>'3.sz.m Önk  bev.'!P46</f>
        <v>6000000</v>
      </c>
      <c r="P47" s="286">
        <f>'3.sz.m Önk  bev.'!P46</f>
        <v>6000000</v>
      </c>
      <c r="Q47" s="286">
        <f>'3.sz.m Önk  bev.'!Q46</f>
        <v>0</v>
      </c>
      <c r="R47" s="744">
        <f t="shared" si="3"/>
        <v>1</v>
      </c>
      <c r="S47" s="365">
        <v>0</v>
      </c>
      <c r="T47" s="286"/>
      <c r="U47" s="286"/>
      <c r="V47" s="286"/>
      <c r="W47" s="286"/>
      <c r="X47" s="286"/>
    </row>
    <row r="48" spans="1:24" ht="21.75" customHeight="1" thickBot="1">
      <c r="A48" s="369"/>
      <c r="B48" s="99" t="s">
        <v>358</v>
      </c>
      <c r="C48" s="1020" t="s">
        <v>572</v>
      </c>
      <c r="D48" s="1020"/>
      <c r="E48" s="365"/>
      <c r="F48" s="286">
        <f>'3.sz.m Önk  bev.'!F47</f>
        <v>0</v>
      </c>
      <c r="G48" s="286">
        <f>'3.sz.m Önk  bev.'!G47</f>
        <v>0</v>
      </c>
      <c r="H48" s="286">
        <f>'3.sz.m Önk  bev.'!H47</f>
        <v>1500000</v>
      </c>
      <c r="I48" s="286">
        <f>'3.sz.m Önk  bev.'!I47</f>
        <v>1500000</v>
      </c>
      <c r="J48" s="286">
        <f>'3.sz.m Önk  bev.'!J47</f>
        <v>0</v>
      </c>
      <c r="K48" s="365"/>
      <c r="L48" s="286"/>
      <c r="M48" s="286"/>
      <c r="N48" s="286">
        <f>'3.sz.m Önk  bev.'!O47</f>
        <v>0</v>
      </c>
      <c r="O48" s="286">
        <f>'3.sz.m Önk  bev.'!P47</f>
        <v>0</v>
      </c>
      <c r="P48" s="286"/>
      <c r="Q48" s="286"/>
      <c r="R48" s="744"/>
      <c r="S48" s="365">
        <v>0</v>
      </c>
      <c r="T48" s="286"/>
      <c r="U48" s="286"/>
      <c r="V48" s="286">
        <f>'3.sz.m Önk  bev.'!V47</f>
        <v>1500000</v>
      </c>
      <c r="W48" s="286">
        <f>'3.sz.m Önk  bev.'!W47</f>
        <v>1500000</v>
      </c>
      <c r="X48" s="286"/>
    </row>
    <row r="49" spans="1:24" ht="21.75" customHeight="1" hidden="1" thickBot="1">
      <c r="A49" s="369"/>
      <c r="B49" s="110"/>
      <c r="C49" s="1028"/>
      <c r="D49" s="1029"/>
      <c r="E49" s="560"/>
      <c r="F49" s="561"/>
      <c r="G49" s="561"/>
      <c r="H49" s="561"/>
      <c r="I49" s="561"/>
      <c r="J49" s="561"/>
      <c r="K49" s="560"/>
      <c r="L49" s="561"/>
      <c r="M49" s="561"/>
      <c r="N49" s="561"/>
      <c r="O49" s="561"/>
      <c r="P49" s="561"/>
      <c r="Q49" s="561"/>
      <c r="R49" s="745" t="e">
        <f t="shared" si="3"/>
        <v>#DIV/0!</v>
      </c>
      <c r="S49" s="560"/>
      <c r="T49" s="561"/>
      <c r="U49" s="561"/>
      <c r="V49" s="561"/>
      <c r="W49" s="561"/>
      <c r="X49" s="561"/>
    </row>
    <row r="50" spans="1:24" ht="21.75" customHeight="1" thickBot="1">
      <c r="A50" s="109" t="s">
        <v>12</v>
      </c>
      <c r="B50" s="1024" t="s">
        <v>76</v>
      </c>
      <c r="C50" s="1024"/>
      <c r="D50" s="1024"/>
      <c r="E50" s="356">
        <f aca="true" t="shared" si="13" ref="E50:N50">E51+E52</f>
        <v>60000</v>
      </c>
      <c r="F50" s="112">
        <f t="shared" si="13"/>
        <v>60000</v>
      </c>
      <c r="G50" s="112">
        <f t="shared" si="13"/>
        <v>360000</v>
      </c>
      <c r="H50" s="112">
        <f>H51+H52</f>
        <v>4898034</v>
      </c>
      <c r="I50" s="112">
        <f>I51+I52</f>
        <v>4924034</v>
      </c>
      <c r="J50" s="112">
        <f t="shared" si="13"/>
        <v>0</v>
      </c>
      <c r="K50" s="356">
        <f t="shared" si="13"/>
        <v>60000</v>
      </c>
      <c r="L50" s="112">
        <f t="shared" si="13"/>
        <v>60000</v>
      </c>
      <c r="M50" s="112">
        <f t="shared" si="13"/>
        <v>360000</v>
      </c>
      <c r="N50" s="112">
        <f t="shared" si="13"/>
        <v>4898034</v>
      </c>
      <c r="O50" s="112">
        <f>O51+O52</f>
        <v>4924034</v>
      </c>
      <c r="P50" s="112">
        <f>P51+P52</f>
        <v>4924034</v>
      </c>
      <c r="Q50" s="112">
        <f>Q51+Q52</f>
        <v>0</v>
      </c>
      <c r="R50" s="760">
        <f t="shared" si="3"/>
        <v>1.0053082522497803</v>
      </c>
      <c r="S50" s="356">
        <f aca="true" t="shared" si="14" ref="S50:X50">S51+S52</f>
        <v>0</v>
      </c>
      <c r="T50" s="112">
        <f t="shared" si="14"/>
        <v>0</v>
      </c>
      <c r="U50" s="112">
        <f t="shared" si="14"/>
        <v>0</v>
      </c>
      <c r="V50" s="112">
        <f t="shared" si="14"/>
        <v>0</v>
      </c>
      <c r="W50" s="112">
        <f t="shared" si="14"/>
        <v>0</v>
      </c>
      <c r="X50" s="112">
        <f t="shared" si="14"/>
        <v>0</v>
      </c>
    </row>
    <row r="51" spans="1:24" s="7" customFormat="1" ht="21.75" customHeight="1">
      <c r="A51" s="111"/>
      <c r="B51" s="110" t="s">
        <v>45</v>
      </c>
      <c r="C51" s="1032" t="s">
        <v>74</v>
      </c>
      <c r="D51" s="1032"/>
      <c r="E51" s="365">
        <f>'3.sz.m Önk  bev.'!E50</f>
        <v>60000</v>
      </c>
      <c r="F51" s="286">
        <f>'3.sz.m Önk  bev.'!F50</f>
        <v>60000</v>
      </c>
      <c r="G51" s="286">
        <f>'3.sz.m Önk  bev.'!G50</f>
        <v>60000</v>
      </c>
      <c r="H51" s="286">
        <f>'3.sz.m Önk  bev.'!H50</f>
        <v>260000</v>
      </c>
      <c r="I51" s="286">
        <f>'3.sz.m Önk  bev.'!I50</f>
        <v>260000</v>
      </c>
      <c r="J51" s="286">
        <f>'3.sz.m Önk  bev.'!J50+'5.2 sz. m ÁMK'!I24</f>
        <v>0</v>
      </c>
      <c r="K51" s="365">
        <f>'3.sz.m Önk  bev.'!L50</f>
        <v>60000</v>
      </c>
      <c r="L51" s="286">
        <f>'3.sz.m Önk  bev.'!M50</f>
        <v>60000</v>
      </c>
      <c r="M51" s="286">
        <f>'3.sz.m Önk  bev.'!N50</f>
        <v>60000</v>
      </c>
      <c r="N51" s="286">
        <f>'3.sz.m Önk  bev.'!O50</f>
        <v>260000</v>
      </c>
      <c r="O51" s="286">
        <f>'3.sz.m Önk  bev.'!P50</f>
        <v>260000</v>
      </c>
      <c r="P51" s="286">
        <f>'3.sz.m Önk  bev.'!P50</f>
        <v>260000</v>
      </c>
      <c r="Q51" s="286">
        <f>'3.sz.m Önk  bev.'!Q50+'5.2 sz. m ÁMK'!Q24</f>
        <v>0</v>
      </c>
      <c r="R51" s="744">
        <f t="shared" si="3"/>
        <v>1</v>
      </c>
      <c r="S51" s="365">
        <v>0</v>
      </c>
      <c r="T51" s="286"/>
      <c r="U51" s="286"/>
      <c r="V51" s="286"/>
      <c r="W51" s="286"/>
      <c r="X51" s="286"/>
    </row>
    <row r="52" spans="1:24" ht="21.75" customHeight="1" thickBot="1">
      <c r="A52" s="102"/>
      <c r="B52" s="98" t="s">
        <v>46</v>
      </c>
      <c r="C52" s="1020" t="s">
        <v>550</v>
      </c>
      <c r="D52" s="1020"/>
      <c r="E52" s="365">
        <f>'3.sz.m Önk  bev.'!E51</f>
        <v>0</v>
      </c>
      <c r="F52" s="286">
        <f>'3.sz.m Önk  bev.'!F51</f>
        <v>0</v>
      </c>
      <c r="G52" s="286">
        <f>'3.sz.m Önk  bev.'!G51</f>
        <v>300000</v>
      </c>
      <c r="H52" s="286">
        <f>'3.sz.m Önk  bev.'!H51</f>
        <v>4638034</v>
      </c>
      <c r="I52" s="286">
        <f>'3.sz.m Önk  bev.'!I51</f>
        <v>4664034</v>
      </c>
      <c r="J52" s="286">
        <f>'3.sz.m Önk  bev.'!J51</f>
        <v>0</v>
      </c>
      <c r="K52" s="365">
        <f>'3.sz.m Önk  bev.'!L51</f>
        <v>0</v>
      </c>
      <c r="L52" s="286">
        <f>'3.sz.m Önk  bev.'!M51</f>
        <v>0</v>
      </c>
      <c r="M52" s="286">
        <f>'3.sz.m Önk  bev.'!N51</f>
        <v>300000</v>
      </c>
      <c r="N52" s="286">
        <f>'3.sz.m Önk  bev.'!O51</f>
        <v>4638034</v>
      </c>
      <c r="O52" s="286">
        <f>'3.sz.m Önk  bev.'!P51</f>
        <v>4664034</v>
      </c>
      <c r="P52" s="286">
        <f>'3.sz.m Önk  bev.'!P51</f>
        <v>4664034</v>
      </c>
      <c r="Q52" s="286">
        <f>'3.sz.m Önk  bev.'!Q51</f>
        <v>0</v>
      </c>
      <c r="R52" s="765"/>
      <c r="S52" s="365">
        <v>0</v>
      </c>
      <c r="T52" s="286"/>
      <c r="U52" s="286"/>
      <c r="V52" s="286"/>
      <c r="W52" s="286"/>
      <c r="X52" s="286"/>
    </row>
    <row r="53" spans="1:24" ht="21.75" customHeight="1" thickBot="1">
      <c r="A53" s="109" t="s">
        <v>13</v>
      </c>
      <c r="B53" s="1024" t="s">
        <v>332</v>
      </c>
      <c r="C53" s="1024"/>
      <c r="D53" s="1024"/>
      <c r="E53" s="351">
        <f aca="true" t="shared" si="15" ref="E53:N53">SUM(E54:E55)</f>
        <v>0</v>
      </c>
      <c r="F53" s="288">
        <f t="shared" si="15"/>
        <v>0</v>
      </c>
      <c r="G53" s="288">
        <f t="shared" si="15"/>
        <v>4115</v>
      </c>
      <c r="H53" s="288">
        <f>SUM(H54:H55)</f>
        <v>10004115</v>
      </c>
      <c r="I53" s="288">
        <f>SUM(I54:I55)</f>
        <v>10004115</v>
      </c>
      <c r="J53" s="288">
        <f t="shared" si="15"/>
        <v>0</v>
      </c>
      <c r="K53" s="351">
        <f t="shared" si="15"/>
        <v>0</v>
      </c>
      <c r="L53" s="288">
        <f t="shared" si="15"/>
        <v>0</v>
      </c>
      <c r="M53" s="288">
        <f t="shared" si="15"/>
        <v>4115</v>
      </c>
      <c r="N53" s="288">
        <f t="shared" si="15"/>
        <v>10004115</v>
      </c>
      <c r="O53" s="288">
        <f>SUM(O54:O55)</f>
        <v>10004115</v>
      </c>
      <c r="P53" s="288">
        <f>SUM(P54:P55)</f>
        <v>10004115</v>
      </c>
      <c r="Q53" s="288">
        <f>SUM(Q54:Q55)</f>
        <v>0</v>
      </c>
      <c r="R53" s="760">
        <f t="shared" si="3"/>
        <v>1</v>
      </c>
      <c r="S53" s="351">
        <f aca="true" t="shared" si="16" ref="S53:X53">SUM(S54:S55)</f>
        <v>0</v>
      </c>
      <c r="T53" s="288">
        <f t="shared" si="16"/>
        <v>0</v>
      </c>
      <c r="U53" s="288">
        <f t="shared" si="16"/>
        <v>0</v>
      </c>
      <c r="V53" s="288">
        <f t="shared" si="16"/>
        <v>0</v>
      </c>
      <c r="W53" s="288">
        <f t="shared" si="16"/>
        <v>0</v>
      </c>
      <c r="X53" s="288">
        <f t="shared" si="16"/>
        <v>0</v>
      </c>
    </row>
    <row r="54" spans="1:24" s="7" customFormat="1" ht="21.75" customHeight="1">
      <c r="A54" s="111"/>
      <c r="B54" s="104" t="s">
        <v>47</v>
      </c>
      <c r="C54" s="1032" t="s">
        <v>334</v>
      </c>
      <c r="D54" s="1032"/>
      <c r="E54" s="368">
        <f>'3.sz.m Önk  bev.'!E53</f>
        <v>0</v>
      </c>
      <c r="F54" s="289">
        <f>'3.sz.m Önk  bev.'!F53</f>
        <v>0</v>
      </c>
      <c r="G54" s="289">
        <f>'3.sz.m Önk  bev.'!G53</f>
        <v>4115</v>
      </c>
      <c r="H54" s="289">
        <f>'3.sz.m Önk  bev.'!H53</f>
        <v>10004115</v>
      </c>
      <c r="I54" s="289">
        <f>'3.sz.m Önk  bev.'!I53</f>
        <v>10004115</v>
      </c>
      <c r="J54" s="289">
        <f>'3.sz.m Önk  bev.'!J53</f>
        <v>0</v>
      </c>
      <c r="K54" s="368">
        <f>'3.sz.m Önk  bev.'!L53</f>
        <v>0</v>
      </c>
      <c r="L54" s="289">
        <f>'3.sz.m Önk  bev.'!M53</f>
        <v>0</v>
      </c>
      <c r="M54" s="289">
        <f>'3.sz.m Önk  bev.'!N53</f>
        <v>4115</v>
      </c>
      <c r="N54" s="289">
        <f>'3.sz.m Önk  bev.'!O53</f>
        <v>10004115</v>
      </c>
      <c r="O54" s="289">
        <f>'3.sz.m Önk  bev.'!P53</f>
        <v>10004115</v>
      </c>
      <c r="P54" s="289">
        <f>'3.sz.m Önk  bev.'!P53</f>
        <v>10004115</v>
      </c>
      <c r="Q54" s="289">
        <f>'3.sz.m Önk  bev.'!Q53</f>
        <v>0</v>
      </c>
      <c r="R54" s="744">
        <f t="shared" si="3"/>
        <v>1</v>
      </c>
      <c r="S54" s="368">
        <v>0</v>
      </c>
      <c r="T54" s="289"/>
      <c r="U54" s="289"/>
      <c r="V54" s="289"/>
      <c r="W54" s="289"/>
      <c r="X54" s="289"/>
    </row>
    <row r="55" spans="1:24" ht="21.75" customHeight="1" thickBot="1">
      <c r="A55" s="106"/>
      <c r="B55" s="107" t="s">
        <v>333</v>
      </c>
      <c r="C55" s="1025" t="s">
        <v>335</v>
      </c>
      <c r="D55" s="1025"/>
      <c r="E55" s="366">
        <v>0</v>
      </c>
      <c r="F55" s="367">
        <v>0</v>
      </c>
      <c r="G55" s="367">
        <v>0</v>
      </c>
      <c r="H55" s="367">
        <v>0</v>
      </c>
      <c r="I55" s="367">
        <v>0</v>
      </c>
      <c r="J55" s="367">
        <v>0</v>
      </c>
      <c r="K55" s="366">
        <v>0</v>
      </c>
      <c r="L55" s="367">
        <v>0</v>
      </c>
      <c r="M55" s="367">
        <v>0</v>
      </c>
      <c r="N55" s="367"/>
      <c r="O55" s="367"/>
      <c r="P55" s="367"/>
      <c r="Q55" s="367"/>
      <c r="R55" s="768"/>
      <c r="S55" s="366">
        <v>0</v>
      </c>
      <c r="T55" s="367"/>
      <c r="U55" s="367"/>
      <c r="V55" s="367"/>
      <c r="W55" s="367"/>
      <c r="X55" s="367"/>
    </row>
    <row r="56" spans="1:24" ht="21.75" customHeight="1" thickBot="1">
      <c r="A56" s="109" t="s">
        <v>14</v>
      </c>
      <c r="B56" s="1033" t="s">
        <v>78</v>
      </c>
      <c r="C56" s="1033"/>
      <c r="D56" s="1033"/>
      <c r="E56" s="351">
        <f aca="true" t="shared" si="17" ref="E56:N56">E7+E21+E42+E50+E53+E33</f>
        <v>466508951</v>
      </c>
      <c r="F56" s="288">
        <f t="shared" si="17"/>
        <v>466508951</v>
      </c>
      <c r="G56" s="288">
        <f t="shared" si="17"/>
        <v>470255614</v>
      </c>
      <c r="H56" s="288">
        <f>H7+H21+H42+H50+H53+H33</f>
        <v>487127995</v>
      </c>
      <c r="I56" s="288">
        <f>I7+I21+I42+I50+I53+I33</f>
        <v>489083861</v>
      </c>
      <c r="J56" s="288">
        <f t="shared" si="17"/>
        <v>0</v>
      </c>
      <c r="K56" s="351">
        <f t="shared" si="17"/>
        <v>445861158</v>
      </c>
      <c r="L56" s="288">
        <f t="shared" si="17"/>
        <v>445861158</v>
      </c>
      <c r="M56" s="288">
        <f t="shared" si="17"/>
        <v>449597821</v>
      </c>
      <c r="N56" s="288">
        <f t="shared" si="17"/>
        <v>464740202</v>
      </c>
      <c r="O56" s="288">
        <f>O7+O21+O42+O50+O53+O33</f>
        <v>466696068</v>
      </c>
      <c r="P56" s="288">
        <f>P7+P21+P42+P50+P53+P33</f>
        <v>464111849</v>
      </c>
      <c r="Q56" s="288">
        <f>Q7+Q21+Q42+Q50+Q53+Q33</f>
        <v>0</v>
      </c>
      <c r="R56" s="766">
        <f t="shared" si="3"/>
        <v>0.9986479478269883</v>
      </c>
      <c r="S56" s="351">
        <f aca="true" t="shared" si="18" ref="S56:X56">S7+S21+S42+S50+S53+S33</f>
        <v>20647793</v>
      </c>
      <c r="T56" s="288">
        <f t="shared" si="18"/>
        <v>20647793</v>
      </c>
      <c r="U56" s="288">
        <f t="shared" si="18"/>
        <v>20657793</v>
      </c>
      <c r="V56" s="288">
        <f t="shared" si="18"/>
        <v>22387793</v>
      </c>
      <c r="W56" s="288">
        <f t="shared" si="18"/>
        <v>22387793</v>
      </c>
      <c r="X56" s="288">
        <f t="shared" si="18"/>
        <v>0</v>
      </c>
    </row>
    <row r="57" spans="1:24" ht="24" customHeight="1" thickBot="1">
      <c r="A57" s="105" t="s">
        <v>59</v>
      </c>
      <c r="B57" s="1024" t="s">
        <v>336</v>
      </c>
      <c r="C57" s="1024"/>
      <c r="D57" s="1024"/>
      <c r="E57" s="351">
        <f aca="true" t="shared" si="19" ref="E57:N57">SUM(E58:E60)</f>
        <v>150569128</v>
      </c>
      <c r="F57" s="288">
        <f t="shared" si="19"/>
        <v>150569128</v>
      </c>
      <c r="G57" s="288">
        <f t="shared" si="19"/>
        <v>146881965</v>
      </c>
      <c r="H57" s="288">
        <f>SUM(H58:H60)</f>
        <v>146881965</v>
      </c>
      <c r="I57" s="288">
        <f>SUM(I58:I60)</f>
        <v>146881965</v>
      </c>
      <c r="J57" s="288">
        <f t="shared" si="19"/>
        <v>0</v>
      </c>
      <c r="K57" s="351">
        <f t="shared" si="19"/>
        <v>150569128</v>
      </c>
      <c r="L57" s="288">
        <f t="shared" si="19"/>
        <v>150569128</v>
      </c>
      <c r="M57" s="288">
        <f t="shared" si="19"/>
        <v>146881965</v>
      </c>
      <c r="N57" s="288">
        <f t="shared" si="19"/>
        <v>146881965</v>
      </c>
      <c r="O57" s="288">
        <f>SUM(O58:O60)</f>
        <v>146881965</v>
      </c>
      <c r="P57" s="288">
        <f>SUM(P58:P60)</f>
        <v>146881965</v>
      </c>
      <c r="Q57" s="288">
        <f>SUM(Q58:Q60)</f>
        <v>0</v>
      </c>
      <c r="R57" s="766">
        <f t="shared" si="3"/>
        <v>1</v>
      </c>
      <c r="S57" s="351">
        <f aca="true" t="shared" si="20" ref="S57:X57">SUM(S58:S60)</f>
        <v>0</v>
      </c>
      <c r="T57" s="288">
        <f t="shared" si="20"/>
        <v>0</v>
      </c>
      <c r="U57" s="288">
        <f t="shared" si="20"/>
        <v>0</v>
      </c>
      <c r="V57" s="288">
        <f t="shared" si="20"/>
        <v>0</v>
      </c>
      <c r="W57" s="288">
        <f t="shared" si="20"/>
        <v>0</v>
      </c>
      <c r="X57" s="288">
        <f t="shared" si="20"/>
        <v>0</v>
      </c>
    </row>
    <row r="58" spans="1:24" ht="21.75" customHeight="1">
      <c r="A58" s="103"/>
      <c r="B58" s="104" t="s">
        <v>48</v>
      </c>
      <c r="C58" s="1032" t="s">
        <v>337</v>
      </c>
      <c r="D58" s="1032"/>
      <c r="E58" s="365">
        <f>'3.sz.m Önk  bev.'!E57</f>
        <v>12000000</v>
      </c>
      <c r="F58" s="286">
        <f>'3.sz.m Önk  bev.'!F57</f>
        <v>12000000</v>
      </c>
      <c r="G58" s="286">
        <f>'3.sz.m Önk  bev.'!G57</f>
        <v>8315281</v>
      </c>
      <c r="H58" s="286">
        <f>'3.sz.m Önk  bev.'!H57</f>
        <v>8315281</v>
      </c>
      <c r="I58" s="286">
        <f>'3.sz.m Önk  bev.'!I57</f>
        <v>8315281</v>
      </c>
      <c r="J58" s="286">
        <f>'3.sz.m Önk  bev.'!J57</f>
        <v>0</v>
      </c>
      <c r="K58" s="365">
        <f>'3.sz.m Önk  bev.'!L57</f>
        <v>12000000</v>
      </c>
      <c r="L58" s="286">
        <f>'3.sz.m Önk  bev.'!M57</f>
        <v>12000000</v>
      </c>
      <c r="M58" s="286">
        <f>'3.sz.m Önk  bev.'!N57</f>
        <v>8315281</v>
      </c>
      <c r="N58" s="286">
        <f>H58</f>
        <v>8315281</v>
      </c>
      <c r="O58" s="286">
        <f>I58</f>
        <v>8315281</v>
      </c>
      <c r="P58" s="286">
        <f>I58</f>
        <v>8315281</v>
      </c>
      <c r="Q58" s="286">
        <f>J58</f>
        <v>0</v>
      </c>
      <c r="R58" s="767">
        <f t="shared" si="3"/>
        <v>1</v>
      </c>
      <c r="S58" s="365">
        <v>0</v>
      </c>
      <c r="T58" s="286"/>
      <c r="U58" s="286"/>
      <c r="V58" s="286"/>
      <c r="W58" s="286"/>
      <c r="X58" s="286"/>
    </row>
    <row r="59" spans="1:24" ht="21.75" customHeight="1">
      <c r="A59" s="102"/>
      <c r="B59" s="99" t="s">
        <v>49</v>
      </c>
      <c r="C59" s="1032" t="s">
        <v>498</v>
      </c>
      <c r="D59" s="1032"/>
      <c r="E59" s="365">
        <f>'3.sz.m Önk  bev.'!E58</f>
        <v>0</v>
      </c>
      <c r="F59" s="286">
        <f>'3.sz.m Önk  bev.'!F58</f>
        <v>0</v>
      </c>
      <c r="G59" s="286">
        <f>'3.sz.m Önk  bev.'!G58</f>
        <v>0</v>
      </c>
      <c r="H59" s="286">
        <f>'3.sz.m Önk  bev.'!H58</f>
        <v>0</v>
      </c>
      <c r="I59" s="286">
        <f>'3.sz.m Önk  bev.'!I58</f>
        <v>0</v>
      </c>
      <c r="J59" s="286">
        <f>'3.sz.m Önk  bev.'!J58</f>
        <v>0</v>
      </c>
      <c r="K59" s="365">
        <f>'3.sz.m Önk  bev.'!L58</f>
        <v>0</v>
      </c>
      <c r="L59" s="286">
        <f>'3.sz.m Önk  bev.'!M58</f>
        <v>0</v>
      </c>
      <c r="M59" s="286">
        <f>'3.sz.m Önk  bev.'!N58</f>
        <v>0</v>
      </c>
      <c r="N59" s="286">
        <f>'3.sz.m Önk  bev.'!O58</f>
        <v>0</v>
      </c>
      <c r="O59" s="286">
        <f>'3.sz.m Önk  bev.'!P58</f>
        <v>0</v>
      </c>
      <c r="P59" s="286">
        <f>'3.sz.m Önk  bev.'!P58</f>
        <v>0</v>
      </c>
      <c r="Q59" s="286">
        <f>'3.sz.m Önk  bev.'!Q58</f>
        <v>0</v>
      </c>
      <c r="R59" s="769"/>
      <c r="S59" s="365">
        <v>0</v>
      </c>
      <c r="T59" s="286"/>
      <c r="U59" s="286"/>
      <c r="V59" s="286"/>
      <c r="W59" s="286"/>
      <c r="X59" s="286"/>
    </row>
    <row r="60" spans="1:24" ht="21.75" customHeight="1" thickBot="1">
      <c r="A60" s="102"/>
      <c r="B60" s="99" t="s">
        <v>77</v>
      </c>
      <c r="C60" s="1032" t="s">
        <v>338</v>
      </c>
      <c r="D60" s="1032"/>
      <c r="E60" s="365">
        <f>'3.sz.m Önk  bev.'!E59+'5.1 sz. m Köz Hiv'!D25+'5.2 sz. m ÁMK'!D29</f>
        <v>138569128</v>
      </c>
      <c r="F60" s="286">
        <f>'3.sz.m Önk  bev.'!F59+'5.1 sz. m Köz Hiv'!E25+'5.2 sz. m ÁMK'!E29</f>
        <v>138569128</v>
      </c>
      <c r="G60" s="286">
        <f>'3.sz.m Önk  bev.'!G59+'5.1 sz. m Köz Hiv'!F25+'5.2 sz. m ÁMK'!F29</f>
        <v>138566684</v>
      </c>
      <c r="H60" s="286">
        <f>'3.sz.m Önk  bev.'!H59+'5.1 sz. m Köz Hiv'!G25+'5.2 sz. m ÁMK'!G29</f>
        <v>138566684</v>
      </c>
      <c r="I60" s="286">
        <f>'3.sz.m Önk  bev.'!I59+'5.1 sz. m Köz Hiv'!H25+'5.2 sz. m ÁMK'!H29</f>
        <v>138566684</v>
      </c>
      <c r="J60" s="286">
        <f>'3.sz.m Önk  bev.'!J59+'5.1 sz. m Köz Hiv'!I25+'5.2 sz. m ÁMK'!I29</f>
        <v>0</v>
      </c>
      <c r="K60" s="365">
        <f>'3.sz.m Önk  bev.'!L59+'5.1 sz. m Köz Hiv'!L25+'5.2 sz. m ÁMK'!L29</f>
        <v>138569128</v>
      </c>
      <c r="L60" s="286">
        <f>'3.sz.m Önk  bev.'!M59+'5.1 sz. m Köz Hiv'!M25+'5.2 sz. m ÁMK'!M29</f>
        <v>138569128</v>
      </c>
      <c r="M60" s="286">
        <f>'3.sz.m Önk  bev.'!N59+'5.1 sz. m Köz Hiv'!N25+'5.2 sz. m ÁMK'!N29</f>
        <v>138566684</v>
      </c>
      <c r="N60" s="286">
        <f>'3.sz.m Önk  bev.'!O59+'5.1 sz. m Köz Hiv'!O25+'5.2 sz. m ÁMK'!O29</f>
        <v>138566684</v>
      </c>
      <c r="O60" s="286">
        <f>'3.sz.m Önk  bev.'!P59+'5.1 sz. m Köz Hiv'!P25+'5.2 sz. m ÁMK'!P29</f>
        <v>138566684</v>
      </c>
      <c r="P60" s="286">
        <f>'3.sz.m Önk  bev.'!P59+'5.1 sz. m Köz Hiv'!P25+'5.2 sz. m ÁMK'!P29</f>
        <v>138566684</v>
      </c>
      <c r="Q60" s="286">
        <f>'3.sz.m Önk  bev.'!Q59+'5.1 sz. m Köz Hiv'!Q25+'5.2 sz. m ÁMK'!Q29</f>
        <v>0</v>
      </c>
      <c r="R60" s="769">
        <f>P60/N60</f>
        <v>1</v>
      </c>
      <c r="S60" s="365">
        <v>0</v>
      </c>
      <c r="T60" s="286"/>
      <c r="U60" s="286"/>
      <c r="V60" s="286"/>
      <c r="W60" s="286"/>
      <c r="X60" s="286"/>
    </row>
    <row r="61" spans="1:24" ht="35.25" customHeight="1" thickBot="1">
      <c r="A61" s="109" t="s">
        <v>60</v>
      </c>
      <c r="B61" s="1031" t="s">
        <v>79</v>
      </c>
      <c r="C61" s="1031"/>
      <c r="D61" s="1031"/>
      <c r="E61" s="353">
        <f aca="true" t="shared" si="21" ref="E61:N61">E56+E57</f>
        <v>617078079</v>
      </c>
      <c r="F61" s="73">
        <f t="shared" si="21"/>
        <v>617078079</v>
      </c>
      <c r="G61" s="73">
        <f t="shared" si="21"/>
        <v>617137579</v>
      </c>
      <c r="H61" s="73">
        <f>H56+H57</f>
        <v>634009960</v>
      </c>
      <c r="I61" s="73">
        <f>I56+I57</f>
        <v>635965826</v>
      </c>
      <c r="J61" s="73">
        <f t="shared" si="21"/>
        <v>0</v>
      </c>
      <c r="K61" s="353">
        <f t="shared" si="21"/>
        <v>596430286</v>
      </c>
      <c r="L61" s="73">
        <f t="shared" si="21"/>
        <v>596430286</v>
      </c>
      <c r="M61" s="73">
        <f t="shared" si="21"/>
        <v>596479786</v>
      </c>
      <c r="N61" s="73">
        <f t="shared" si="21"/>
        <v>611622167</v>
      </c>
      <c r="O61" s="73">
        <f>O56+O57</f>
        <v>613578033</v>
      </c>
      <c r="P61" s="73">
        <f>P56+P57</f>
        <v>610993814</v>
      </c>
      <c r="Q61" s="73">
        <f>Q56+Q57</f>
        <v>0</v>
      </c>
      <c r="R61" s="770">
        <f t="shared" si="3"/>
        <v>0.9989726451494032</v>
      </c>
      <c r="S61" s="353">
        <f aca="true" t="shared" si="22" ref="S61:X61">S56+S57</f>
        <v>20647793</v>
      </c>
      <c r="T61" s="73">
        <f t="shared" si="22"/>
        <v>20647793</v>
      </c>
      <c r="U61" s="73">
        <f t="shared" si="22"/>
        <v>20657793</v>
      </c>
      <c r="V61" s="73">
        <f t="shared" si="22"/>
        <v>22387793</v>
      </c>
      <c r="W61" s="73">
        <f t="shared" si="22"/>
        <v>22387793</v>
      </c>
      <c r="X61" s="73">
        <f t="shared" si="22"/>
        <v>0</v>
      </c>
    </row>
    <row r="62" spans="1:24" ht="21.75" customHeight="1" hidden="1" thickBot="1">
      <c r="A62" s="1026" t="s">
        <v>250</v>
      </c>
      <c r="B62" s="1027"/>
      <c r="C62" s="1027"/>
      <c r="D62" s="1027"/>
      <c r="E62" s="562"/>
      <c r="F62" s="563"/>
      <c r="G62" s="563"/>
      <c r="H62" s="563"/>
      <c r="I62" s="563"/>
      <c r="J62" s="563"/>
      <c r="K62" s="562"/>
      <c r="L62" s="563"/>
      <c r="M62" s="563"/>
      <c r="N62" s="563"/>
      <c r="O62" s="563"/>
      <c r="P62" s="563"/>
      <c r="Q62" s="563"/>
      <c r="R62" s="568"/>
      <c r="S62" s="562"/>
      <c r="T62" s="563"/>
      <c r="U62" s="563"/>
      <c r="V62" s="563"/>
      <c r="W62" s="563"/>
      <c r="X62" s="563"/>
    </row>
    <row r="63" spans="1:24" ht="21.75" customHeight="1" thickBot="1">
      <c r="A63" s="1030" t="s">
        <v>7</v>
      </c>
      <c r="B63" s="1031"/>
      <c r="C63" s="1031"/>
      <c r="D63" s="1031"/>
      <c r="E63" s="390">
        <f aca="true" t="shared" si="23" ref="E63:N63">E61+E62</f>
        <v>617078079</v>
      </c>
      <c r="F63" s="391">
        <f t="shared" si="23"/>
        <v>617078079</v>
      </c>
      <c r="G63" s="391">
        <f t="shared" si="23"/>
        <v>617137579</v>
      </c>
      <c r="H63" s="391">
        <f>H61+H62</f>
        <v>634009960</v>
      </c>
      <c r="I63" s="391">
        <f>I61+I62</f>
        <v>635965826</v>
      </c>
      <c r="J63" s="391">
        <f t="shared" si="23"/>
        <v>0</v>
      </c>
      <c r="K63" s="390">
        <f t="shared" si="23"/>
        <v>596430286</v>
      </c>
      <c r="L63" s="391">
        <f t="shared" si="23"/>
        <v>596430286</v>
      </c>
      <c r="M63" s="391">
        <f t="shared" si="23"/>
        <v>596479786</v>
      </c>
      <c r="N63" s="391">
        <f t="shared" si="23"/>
        <v>611622167</v>
      </c>
      <c r="O63" s="391">
        <f>O61+O62</f>
        <v>613578033</v>
      </c>
      <c r="P63" s="391">
        <f>P61+P62</f>
        <v>610993814</v>
      </c>
      <c r="Q63" s="391">
        <f>Q61+Q62</f>
        <v>0</v>
      </c>
      <c r="R63" s="393">
        <f t="shared" si="3"/>
        <v>0.9989726451494032</v>
      </c>
      <c r="S63" s="390">
        <f aca="true" t="shared" si="24" ref="S63:X63">S61+S62</f>
        <v>20647793</v>
      </c>
      <c r="T63" s="391">
        <f t="shared" si="24"/>
        <v>20647793</v>
      </c>
      <c r="U63" s="391">
        <f t="shared" si="24"/>
        <v>20657793</v>
      </c>
      <c r="V63" s="391">
        <f t="shared" si="24"/>
        <v>22387793</v>
      </c>
      <c r="W63" s="391">
        <f t="shared" si="24"/>
        <v>22387793</v>
      </c>
      <c r="X63" s="391">
        <f t="shared" si="24"/>
        <v>0</v>
      </c>
    </row>
    <row r="64" spans="1:24" ht="21.75" customHeight="1">
      <c r="A64" s="565"/>
      <c r="B64" s="566"/>
      <c r="C64" s="566"/>
      <c r="D64" s="566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981"/>
      <c r="P64" s="567"/>
      <c r="Q64" s="567"/>
      <c r="R64" s="567"/>
      <c r="S64" s="567"/>
      <c r="T64" s="567"/>
      <c r="U64" s="567"/>
      <c r="V64" s="567"/>
      <c r="W64" s="567"/>
      <c r="X64" s="567"/>
    </row>
    <row r="65" spans="1:22" ht="21.75" customHeight="1">
      <c r="A65" s="88"/>
      <c r="B65" s="135"/>
      <c r="C65" s="135"/>
      <c r="D65" s="135"/>
      <c r="E65" s="321"/>
      <c r="F65" s="321"/>
      <c r="G65" s="320"/>
      <c r="H65" s="320"/>
      <c r="I65" s="321"/>
      <c r="J65" s="320">
        <f>J63-'1 .sz.m.önk.össz.kiad.'!J36</f>
        <v>0</v>
      </c>
      <c r="K65" s="321"/>
      <c r="T65" s="321"/>
      <c r="U65" s="321"/>
      <c r="V65" s="321"/>
    </row>
    <row r="66" spans="1:22" ht="35.25" customHeight="1">
      <c r="A66" s="88"/>
      <c r="B66" s="135"/>
      <c r="C66" s="135"/>
      <c r="D66" s="135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T66" s="321"/>
      <c r="U66" s="321"/>
      <c r="V66" s="321"/>
    </row>
    <row r="67" spans="1:22" ht="35.25" customHeight="1">
      <c r="A67" s="88"/>
      <c r="B67" s="135"/>
      <c r="C67" s="135"/>
      <c r="D67" s="135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T67" s="321"/>
      <c r="U67" s="321"/>
      <c r="V67" s="321"/>
    </row>
    <row r="68" spans="5:22" ht="12.75"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T68" s="321"/>
      <c r="U68" s="321"/>
      <c r="V68" s="321"/>
    </row>
    <row r="69" spans="5:22" ht="12.75"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T69" s="321"/>
      <c r="U69" s="321"/>
      <c r="V69" s="321"/>
    </row>
    <row r="70" spans="5:22" ht="12.75"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T70" s="321"/>
      <c r="U70" s="321"/>
      <c r="V70" s="321"/>
    </row>
    <row r="71" spans="4:22" ht="12.75">
      <c r="D71" s="96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T71" s="321"/>
      <c r="U71" s="321"/>
      <c r="V71" s="321"/>
    </row>
    <row r="72" spans="4:22" ht="48.75" customHeight="1">
      <c r="D72" s="96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T72" s="321"/>
      <c r="U72" s="321"/>
      <c r="V72" s="321"/>
    </row>
    <row r="73" spans="4:22" ht="46.5" customHeight="1">
      <c r="D73" s="96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T73" s="321"/>
      <c r="U73" s="321"/>
      <c r="V73" s="321"/>
    </row>
    <row r="74" spans="5:22" ht="41.25" customHeight="1"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T74" s="321"/>
      <c r="U74" s="321"/>
      <c r="V74" s="321"/>
    </row>
    <row r="75" spans="5:22" ht="12.75"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T75" s="321"/>
      <c r="U75" s="321"/>
      <c r="V75" s="321"/>
    </row>
    <row r="76" spans="5:22" ht="12.75"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T76" s="321"/>
      <c r="U76" s="321"/>
      <c r="V76" s="321"/>
    </row>
    <row r="77" spans="5:22" ht="12.75"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T77" s="321"/>
      <c r="U77" s="321"/>
      <c r="V77" s="321"/>
    </row>
    <row r="78" spans="5:22" ht="12.75"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T78" s="321"/>
      <c r="U78" s="321"/>
      <c r="V78" s="321"/>
    </row>
    <row r="79" spans="5:22" ht="12.75"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T79" s="321"/>
      <c r="U79" s="321"/>
      <c r="V79" s="321"/>
    </row>
    <row r="80" spans="5:22" ht="12.75"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T80" s="321"/>
      <c r="U80" s="321"/>
      <c r="V80" s="321"/>
    </row>
    <row r="81" spans="5:22" ht="12.75"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T81" s="321"/>
      <c r="U81" s="321"/>
      <c r="V81" s="321"/>
    </row>
    <row r="82" spans="5:22" ht="12.75"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T82" s="321"/>
      <c r="U82" s="321"/>
      <c r="V82" s="321"/>
    </row>
    <row r="83" spans="5:22" ht="12.75"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T83" s="321"/>
      <c r="U83" s="321"/>
      <c r="V83" s="321"/>
    </row>
    <row r="84" spans="5:22" ht="12.75"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T84" s="321"/>
      <c r="U84" s="321"/>
      <c r="V84" s="321"/>
    </row>
    <row r="85" spans="5:22" ht="12.75"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T85" s="321"/>
      <c r="U85" s="321"/>
      <c r="V85" s="321"/>
    </row>
    <row r="86" spans="5:22" ht="12.75"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T86" s="321"/>
      <c r="U86" s="321"/>
      <c r="V86" s="321"/>
    </row>
    <row r="87" spans="5:22" ht="12.75"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T87" s="321"/>
      <c r="U87" s="321"/>
      <c r="V87" s="321"/>
    </row>
    <row r="88" spans="5:22" ht="12.75"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T88" s="321"/>
      <c r="U88" s="321"/>
      <c r="V88" s="321"/>
    </row>
    <row r="89" spans="5:22" ht="12.75"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T89" s="321"/>
      <c r="U89" s="321"/>
      <c r="V89" s="321"/>
    </row>
    <row r="90" spans="5:22" ht="12.75"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T90" s="321"/>
      <c r="U90" s="321"/>
      <c r="V90" s="321"/>
    </row>
    <row r="91" spans="5:22" ht="12.75"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T91" s="321"/>
      <c r="U91" s="321"/>
      <c r="V91" s="321"/>
    </row>
    <row r="92" spans="5:22" ht="12.75"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T92" s="321"/>
      <c r="U92" s="321"/>
      <c r="V92" s="321"/>
    </row>
    <row r="93" spans="5:22" ht="12.75"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T93" s="321"/>
      <c r="U93" s="321"/>
      <c r="V93" s="321"/>
    </row>
    <row r="94" spans="5:22" ht="12.75"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T94" s="321"/>
      <c r="U94" s="321"/>
      <c r="V94" s="321"/>
    </row>
    <row r="95" spans="5:22" ht="12.75"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T95" s="321"/>
      <c r="U95" s="321"/>
      <c r="V95" s="321"/>
    </row>
    <row r="96" spans="5:22" ht="12.75"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T96" s="321"/>
      <c r="U96" s="321"/>
      <c r="V96" s="321"/>
    </row>
    <row r="97" spans="5:22" ht="12.75"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T97" s="321"/>
      <c r="U97" s="321"/>
      <c r="V97" s="321"/>
    </row>
    <row r="98" spans="5:22" ht="12.75"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T98" s="321"/>
      <c r="U98" s="321"/>
      <c r="V98" s="321"/>
    </row>
    <row r="99" spans="5:22" ht="12.75"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T99" s="321"/>
      <c r="U99" s="321"/>
      <c r="V99" s="321"/>
    </row>
    <row r="100" spans="5:22" ht="12.75"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T100" s="321"/>
      <c r="U100" s="321"/>
      <c r="V100" s="321"/>
    </row>
    <row r="101" spans="5:22" ht="12.75"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T101" s="321"/>
      <c r="U101" s="321"/>
      <c r="V101" s="321"/>
    </row>
    <row r="102" spans="5:22" ht="12.75"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T102" s="321"/>
      <c r="U102" s="321"/>
      <c r="V102" s="321"/>
    </row>
    <row r="103" spans="5:22" ht="12.75"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T103" s="321"/>
      <c r="U103" s="321"/>
      <c r="V103" s="321"/>
    </row>
    <row r="104" spans="5:22" ht="12.75"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T104" s="321"/>
      <c r="U104" s="321"/>
      <c r="V104" s="321"/>
    </row>
    <row r="105" spans="5:22" ht="12.75"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T105" s="321"/>
      <c r="U105" s="321"/>
      <c r="V105" s="321"/>
    </row>
    <row r="106" spans="5:22" ht="12.75"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T106" s="321"/>
      <c r="U106" s="321"/>
      <c r="V106" s="321"/>
    </row>
    <row r="107" spans="5:22" ht="12.75"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T107" s="321"/>
      <c r="U107" s="321"/>
      <c r="V107" s="321"/>
    </row>
    <row r="108" spans="5:22" ht="12.75"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T108" s="321"/>
      <c r="U108" s="321"/>
      <c r="V108" s="321"/>
    </row>
    <row r="109" spans="5:22" ht="12.75"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T109" s="321"/>
      <c r="U109" s="321"/>
      <c r="V109" s="321"/>
    </row>
    <row r="110" spans="5:22" ht="12.75"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T110" s="321"/>
      <c r="U110" s="321"/>
      <c r="V110" s="321"/>
    </row>
    <row r="111" spans="5:22" ht="12.75"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T111" s="321"/>
      <c r="U111" s="321"/>
      <c r="V111" s="321"/>
    </row>
    <row r="112" spans="5:22" ht="12.75"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T112" s="321"/>
      <c r="U112" s="321"/>
      <c r="V112" s="321"/>
    </row>
  </sheetData>
  <sheetProtection/>
  <mergeCells count="46">
    <mergeCell ref="C8:D8"/>
    <mergeCell ref="C29:D29"/>
    <mergeCell ref="S4:X4"/>
    <mergeCell ref="A2:S2"/>
    <mergeCell ref="A4:C4"/>
    <mergeCell ref="B6:D6"/>
    <mergeCell ref="B7:D7"/>
    <mergeCell ref="E4:J4"/>
    <mergeCell ref="K4:R4"/>
    <mergeCell ref="C13:D13"/>
    <mergeCell ref="C16:D16"/>
    <mergeCell ref="B21:D21"/>
    <mergeCell ref="C22:D22"/>
    <mergeCell ref="C23:D23"/>
    <mergeCell ref="C25:D25"/>
    <mergeCell ref="C17:D17"/>
    <mergeCell ref="C20:D20"/>
    <mergeCell ref="C24:D24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C30:D30"/>
    <mergeCell ref="C31:D31"/>
    <mergeCell ref="C48:D48"/>
    <mergeCell ref="C34:D34"/>
    <mergeCell ref="C52:D52"/>
    <mergeCell ref="C35:D35"/>
    <mergeCell ref="B50:D50"/>
    <mergeCell ref="C32:D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3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workbookViewId="0" topLeftCell="F1">
      <selection activeCell="A2" sqref="A2:R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41" customWidth="1"/>
    <col min="5" max="5" width="12.7109375" style="641" bestFit="1" customWidth="1"/>
    <col min="6" max="6" width="13.28125" style="641" customWidth="1"/>
    <col min="7" max="8" width="13.00390625" style="641" customWidth="1"/>
    <col min="9" max="10" width="9.7109375" style="641" hidden="1" customWidth="1"/>
    <col min="11" max="11" width="14.140625" style="642" customWidth="1"/>
    <col min="12" max="12" width="12.7109375" style="642" bestFit="1" customWidth="1"/>
    <col min="13" max="13" width="13.57421875" style="642" customWidth="1"/>
    <col min="14" max="14" width="12.8515625" style="642" customWidth="1"/>
    <col min="15" max="15" width="12.7109375" style="642" customWidth="1"/>
    <col min="16" max="16" width="10.7109375" style="642" hidden="1" customWidth="1"/>
    <col min="17" max="17" width="10.421875" style="642" hidden="1" customWidth="1"/>
    <col min="18" max="18" width="13.00390625" style="642" customWidth="1"/>
    <col min="19" max="19" width="11.421875" style="642" bestFit="1" customWidth="1"/>
    <col min="20" max="20" width="12.421875" style="9" customWidth="1"/>
    <col min="21" max="21" width="12.7109375" style="9" customWidth="1"/>
    <col min="22" max="22" width="11.8515625" style="9" customWidth="1"/>
    <col min="23" max="23" width="9.28125" style="9" hidden="1" customWidth="1"/>
    <col min="24" max="24" width="1.7109375" style="9" hidden="1" customWidth="1"/>
    <col min="25" max="16384" width="9.140625" style="9" customWidth="1"/>
  </cols>
  <sheetData>
    <row r="1" spans="4:19" ht="12.75">
      <c r="D1" s="635"/>
      <c r="E1" s="635"/>
      <c r="F1" s="635"/>
      <c r="G1" s="635"/>
      <c r="H1" s="635"/>
      <c r="I1" s="635"/>
      <c r="J1" s="635"/>
      <c r="K1" s="1132" t="s">
        <v>595</v>
      </c>
      <c r="L1" s="1132"/>
      <c r="M1" s="1132"/>
      <c r="N1" s="1132"/>
      <c r="O1" s="1132"/>
      <c r="P1" s="1132"/>
      <c r="Q1" s="1132"/>
      <c r="R1" s="1132"/>
      <c r="S1" s="636"/>
    </row>
    <row r="2" spans="1:19" ht="16.5" customHeight="1">
      <c r="A2" s="1133" t="s">
        <v>393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637"/>
    </row>
    <row r="3" spans="1:19" ht="15" customHeight="1">
      <c r="A3" s="1134" t="s">
        <v>526</v>
      </c>
      <c r="B3" s="1134"/>
      <c r="C3" s="1134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  <c r="S3" s="638"/>
    </row>
    <row r="4" spans="1:19" ht="15" customHeight="1">
      <c r="A4" s="1135" t="s">
        <v>394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639"/>
    </row>
    <row r="5" spans="2:21" ht="13.5" thickBot="1">
      <c r="B5" s="640"/>
      <c r="C5" s="640"/>
      <c r="R5" s="1140" t="s">
        <v>581</v>
      </c>
      <c r="S5" s="1140"/>
      <c r="T5" s="1140"/>
      <c r="U5" s="1140"/>
    </row>
    <row r="6" spans="1:25" s="645" customFormat="1" ht="41.25" customHeight="1" thickBot="1">
      <c r="A6" s="643" t="s">
        <v>6</v>
      </c>
      <c r="B6" s="1136" t="s">
        <v>4</v>
      </c>
      <c r="C6" s="1136"/>
      <c r="D6" s="1137" t="s">
        <v>5</v>
      </c>
      <c r="E6" s="1138"/>
      <c r="F6" s="1138"/>
      <c r="G6" s="1138"/>
      <c r="H6" s="1138"/>
      <c r="I6" s="1138"/>
      <c r="J6" s="1139"/>
      <c r="K6" s="1137" t="s">
        <v>395</v>
      </c>
      <c r="L6" s="1138"/>
      <c r="M6" s="1138"/>
      <c r="N6" s="1138"/>
      <c r="O6" s="1138"/>
      <c r="P6" s="1138"/>
      <c r="Q6" s="1139"/>
      <c r="R6" s="1137" t="s">
        <v>396</v>
      </c>
      <c r="S6" s="1138"/>
      <c r="T6" s="1138"/>
      <c r="U6" s="1138"/>
      <c r="V6" s="1138"/>
      <c r="W6" s="1138"/>
      <c r="X6" s="1139"/>
      <c r="Y6" s="644"/>
    </row>
    <row r="7" spans="1:24" s="645" customFormat="1" ht="41.25" customHeight="1" thickBot="1">
      <c r="A7" s="646"/>
      <c r="B7" s="647"/>
      <c r="C7" s="647"/>
      <c r="D7" s="648" t="s">
        <v>67</v>
      </c>
      <c r="E7" s="649" t="s">
        <v>231</v>
      </c>
      <c r="F7" s="649" t="s">
        <v>234</v>
      </c>
      <c r="G7" s="649" t="s">
        <v>237</v>
      </c>
      <c r="H7" s="649" t="s">
        <v>251</v>
      </c>
      <c r="I7" s="649" t="s">
        <v>256</v>
      </c>
      <c r="J7" s="650" t="s">
        <v>367</v>
      </c>
      <c r="K7" s="648" t="s">
        <v>67</v>
      </c>
      <c r="L7" s="649" t="s">
        <v>231</v>
      </c>
      <c r="M7" s="649" t="s">
        <v>234</v>
      </c>
      <c r="N7" s="649" t="s">
        <v>237</v>
      </c>
      <c r="O7" s="649" t="s">
        <v>251</v>
      </c>
      <c r="P7" s="649" t="s">
        <v>256</v>
      </c>
      <c r="Q7" s="650" t="s">
        <v>367</v>
      </c>
      <c r="R7" s="648" t="s">
        <v>67</v>
      </c>
      <c r="S7" s="649" t="s">
        <v>231</v>
      </c>
      <c r="T7" s="649" t="s">
        <v>234</v>
      </c>
      <c r="U7" s="649" t="s">
        <v>237</v>
      </c>
      <c r="V7" s="649" t="s">
        <v>251</v>
      </c>
      <c r="W7" s="649" t="s">
        <v>256</v>
      </c>
      <c r="X7" s="650" t="s">
        <v>367</v>
      </c>
    </row>
    <row r="8" spans="1:24" ht="27.75" customHeight="1">
      <c r="A8" s="54">
        <v>1</v>
      </c>
      <c r="B8" s="1131" t="s">
        <v>397</v>
      </c>
      <c r="C8" s="1131"/>
      <c r="D8" s="651">
        <v>2007200</v>
      </c>
      <c r="E8" s="652">
        <v>2007200</v>
      </c>
      <c r="F8" s="652">
        <v>2007200</v>
      </c>
      <c r="G8" s="652">
        <f>2007200-1000000</f>
        <v>1007200</v>
      </c>
      <c r="H8" s="652">
        <f>2007200-1000000</f>
        <v>1007200</v>
      </c>
      <c r="I8" s="652"/>
      <c r="J8" s="653"/>
      <c r="K8" s="651">
        <v>2007200</v>
      </c>
      <c r="L8" s="652">
        <v>2007200</v>
      </c>
      <c r="M8" s="652">
        <v>2007200</v>
      </c>
      <c r="N8" s="652">
        <f>2007200-1000000</f>
        <v>1007200</v>
      </c>
      <c r="O8" s="652">
        <f>2007200-1000000</f>
        <v>1007200</v>
      </c>
      <c r="P8" s="652"/>
      <c r="Q8" s="653"/>
      <c r="R8" s="651"/>
      <c r="S8" s="652"/>
      <c r="T8" s="652"/>
      <c r="U8" s="652"/>
      <c r="V8" s="652"/>
      <c r="W8" s="652"/>
      <c r="X8" s="654"/>
    </row>
    <row r="9" spans="1:24" ht="27.75" customHeight="1">
      <c r="A9" s="55">
        <v>2</v>
      </c>
      <c r="B9" s="1124" t="s">
        <v>398</v>
      </c>
      <c r="C9" s="1124"/>
      <c r="D9" s="656">
        <v>122133</v>
      </c>
      <c r="E9" s="657">
        <v>122133</v>
      </c>
      <c r="F9" s="657">
        <v>122133</v>
      </c>
      <c r="G9" s="657">
        <v>122133</v>
      </c>
      <c r="H9" s="657">
        <v>122133</v>
      </c>
      <c r="I9" s="657"/>
      <c r="J9" s="658"/>
      <c r="K9" s="656">
        <v>122133</v>
      </c>
      <c r="L9" s="657">
        <v>122133</v>
      </c>
      <c r="M9" s="657">
        <v>122133</v>
      </c>
      <c r="N9" s="657">
        <v>122133</v>
      </c>
      <c r="O9" s="657">
        <v>122133</v>
      </c>
      <c r="P9" s="657"/>
      <c r="Q9" s="658"/>
      <c r="R9" s="656"/>
      <c r="S9" s="657"/>
      <c r="T9" s="657"/>
      <c r="U9" s="657"/>
      <c r="V9" s="657"/>
      <c r="W9" s="657"/>
      <c r="X9" s="659"/>
    </row>
    <row r="10" spans="1:24" ht="27.75" customHeight="1">
      <c r="A10" s="55">
        <v>3</v>
      </c>
      <c r="B10" s="1124" t="s">
        <v>399</v>
      </c>
      <c r="C10" s="1124"/>
      <c r="D10" s="656">
        <v>2000000</v>
      </c>
      <c r="E10" s="657">
        <v>2000000</v>
      </c>
      <c r="F10" s="657">
        <v>2000000</v>
      </c>
      <c r="G10" s="657">
        <v>2000000</v>
      </c>
      <c r="H10" s="657">
        <f>2000000+1353762</f>
        <v>3353762</v>
      </c>
      <c r="I10" s="657"/>
      <c r="J10" s="658"/>
      <c r="K10" s="656">
        <v>2000000</v>
      </c>
      <c r="L10" s="657">
        <v>2000000</v>
      </c>
      <c r="M10" s="657">
        <v>2000000</v>
      </c>
      <c r="N10" s="657">
        <v>2000000</v>
      </c>
      <c r="O10" s="657">
        <f>2000000+1353762</f>
        <v>3353762</v>
      </c>
      <c r="P10" s="657"/>
      <c r="Q10" s="658"/>
      <c r="R10" s="656"/>
      <c r="S10" s="657"/>
      <c r="T10" s="657"/>
      <c r="U10" s="657"/>
      <c r="V10" s="657"/>
      <c r="W10" s="657"/>
      <c r="X10" s="659"/>
    </row>
    <row r="11" spans="1:24" ht="27.75" customHeight="1">
      <c r="A11" s="55">
        <v>4</v>
      </c>
      <c r="B11" s="1124" t="s">
        <v>400</v>
      </c>
      <c r="C11" s="1124"/>
      <c r="D11" s="656">
        <v>1841724</v>
      </c>
      <c r="E11" s="657">
        <v>1841724</v>
      </c>
      <c r="F11" s="657">
        <v>1841724</v>
      </c>
      <c r="G11" s="657">
        <v>1841724</v>
      </c>
      <c r="H11" s="657">
        <v>1841724</v>
      </c>
      <c r="I11" s="657"/>
      <c r="J11" s="658"/>
      <c r="K11" s="656"/>
      <c r="L11" s="657"/>
      <c r="M11" s="657"/>
      <c r="N11" s="657"/>
      <c r="O11" s="657"/>
      <c r="P11" s="657"/>
      <c r="Q11" s="658"/>
      <c r="R11" s="656">
        <v>1841724</v>
      </c>
      <c r="S11" s="657">
        <v>1841724</v>
      </c>
      <c r="T11" s="657">
        <v>1841724</v>
      </c>
      <c r="U11" s="657">
        <v>1841724</v>
      </c>
      <c r="V11" s="657">
        <v>1841724</v>
      </c>
      <c r="W11" s="657"/>
      <c r="X11" s="658">
        <f>V11/U11</f>
        <v>1</v>
      </c>
    </row>
    <row r="12" spans="1:24" ht="27.75" customHeight="1">
      <c r="A12" s="55">
        <v>5</v>
      </c>
      <c r="B12" s="1124" t="s">
        <v>401</v>
      </c>
      <c r="C12" s="1124"/>
      <c r="D12" s="656">
        <v>4567397</v>
      </c>
      <c r="E12" s="657">
        <v>4567397</v>
      </c>
      <c r="F12" s="657">
        <v>4567397</v>
      </c>
      <c r="G12" s="657">
        <v>4567397</v>
      </c>
      <c r="H12" s="657">
        <v>4567397</v>
      </c>
      <c r="I12" s="657"/>
      <c r="J12" s="658"/>
      <c r="K12" s="656">
        <v>4567397</v>
      </c>
      <c r="L12" s="657">
        <v>4567397</v>
      </c>
      <c r="M12" s="657">
        <v>4567397</v>
      </c>
      <c r="N12" s="657">
        <v>4567397</v>
      </c>
      <c r="O12" s="657">
        <v>4567397</v>
      </c>
      <c r="P12" s="657"/>
      <c r="Q12" s="658"/>
      <c r="R12" s="656"/>
      <c r="S12" s="657"/>
      <c r="T12" s="657"/>
      <c r="U12" s="657"/>
      <c r="V12" s="657"/>
      <c r="W12" s="657"/>
      <c r="X12" s="659"/>
    </row>
    <row r="13" spans="1:24" ht="27.75" customHeight="1">
      <c r="A13" s="55">
        <v>6</v>
      </c>
      <c r="B13" s="1124" t="s">
        <v>402</v>
      </c>
      <c r="C13" s="1124"/>
      <c r="D13" s="656">
        <v>47701306</v>
      </c>
      <c r="E13" s="657">
        <v>47701306</v>
      </c>
      <c r="F13" s="657">
        <f>47701306-204540</f>
        <v>47496766</v>
      </c>
      <c r="G13" s="657">
        <f>47701306-204540+2354314</f>
        <v>49851080</v>
      </c>
      <c r="H13" s="657">
        <f>47701306-204540+2354314+680719</f>
        <v>50531799</v>
      </c>
      <c r="I13" s="657"/>
      <c r="J13" s="658"/>
      <c r="K13" s="656">
        <v>47701306</v>
      </c>
      <c r="L13" s="657">
        <v>47701306</v>
      </c>
      <c r="M13" s="657">
        <f>47701306-204540</f>
        <v>47496766</v>
      </c>
      <c r="N13" s="657">
        <f>47701306-204540+2354314</f>
        <v>49851080</v>
      </c>
      <c r="O13" s="657">
        <f>47701306-204540+2354314+680719</f>
        <v>50531799</v>
      </c>
      <c r="P13" s="657"/>
      <c r="Q13" s="658"/>
      <c r="R13" s="656"/>
      <c r="S13" s="657"/>
      <c r="T13" s="657"/>
      <c r="U13" s="657"/>
      <c r="V13" s="657"/>
      <c r="W13" s="657"/>
      <c r="X13" s="659"/>
    </row>
    <row r="14" spans="1:24" ht="27.75" customHeight="1">
      <c r="A14" s="55">
        <v>7</v>
      </c>
      <c r="B14" s="655" t="s">
        <v>403</v>
      </c>
      <c r="C14" s="655"/>
      <c r="D14" s="656">
        <v>268100</v>
      </c>
      <c r="E14" s="657">
        <v>268100</v>
      </c>
      <c r="F14" s="657">
        <v>268100</v>
      </c>
      <c r="G14" s="657">
        <v>268100</v>
      </c>
      <c r="H14" s="657">
        <v>268100</v>
      </c>
      <c r="I14" s="657"/>
      <c r="J14" s="658"/>
      <c r="K14" s="656">
        <v>268100</v>
      </c>
      <c r="L14" s="657">
        <v>268100</v>
      </c>
      <c r="M14" s="657">
        <v>268100</v>
      </c>
      <c r="N14" s="657">
        <v>268100</v>
      </c>
      <c r="O14" s="657">
        <v>268100</v>
      </c>
      <c r="P14" s="657"/>
      <c r="Q14" s="658"/>
      <c r="R14" s="656"/>
      <c r="S14" s="657"/>
      <c r="T14" s="657"/>
      <c r="U14" s="657"/>
      <c r="V14" s="657"/>
      <c r="W14" s="657"/>
      <c r="X14" s="659"/>
    </row>
    <row r="15" spans="1:24" ht="27.75" customHeight="1">
      <c r="A15" s="55">
        <v>8</v>
      </c>
      <c r="B15" s="1124" t="s">
        <v>404</v>
      </c>
      <c r="C15" s="1124"/>
      <c r="D15" s="656">
        <v>2518068</v>
      </c>
      <c r="E15" s="657">
        <v>2518068</v>
      </c>
      <c r="F15" s="657">
        <v>2518068</v>
      </c>
      <c r="G15" s="657">
        <f>2518068+40000</f>
        <v>2558068</v>
      </c>
      <c r="H15" s="657">
        <f>2518068+40000</f>
        <v>2558068</v>
      </c>
      <c r="I15" s="657"/>
      <c r="J15" s="658"/>
      <c r="K15" s="656">
        <v>2518068</v>
      </c>
      <c r="L15" s="657">
        <v>2518068</v>
      </c>
      <c r="M15" s="657">
        <v>2518068</v>
      </c>
      <c r="N15" s="657">
        <f>2518068+40000</f>
        <v>2558068</v>
      </c>
      <c r="O15" s="657">
        <f>2518068+40000</f>
        <v>2558068</v>
      </c>
      <c r="P15" s="657"/>
      <c r="Q15" s="658"/>
      <c r="R15" s="656"/>
      <c r="S15" s="657"/>
      <c r="T15" s="657"/>
      <c r="U15" s="657"/>
      <c r="V15" s="657"/>
      <c r="W15" s="657"/>
      <c r="X15" s="659"/>
    </row>
    <row r="16" spans="1:24" ht="27.75" customHeight="1">
      <c r="A16" s="55">
        <v>9</v>
      </c>
      <c r="B16" s="1124" t="s">
        <v>405</v>
      </c>
      <c r="C16" s="1124"/>
      <c r="D16" s="656">
        <v>198466</v>
      </c>
      <c r="E16" s="657">
        <v>198466</v>
      </c>
      <c r="F16" s="657">
        <v>198466</v>
      </c>
      <c r="G16" s="657">
        <v>198466</v>
      </c>
      <c r="H16" s="657">
        <v>198466</v>
      </c>
      <c r="I16" s="657"/>
      <c r="J16" s="658"/>
      <c r="K16" s="656">
        <v>198466</v>
      </c>
      <c r="L16" s="657">
        <v>198466</v>
      </c>
      <c r="M16" s="657">
        <v>198466</v>
      </c>
      <c r="N16" s="657">
        <v>198466</v>
      </c>
      <c r="O16" s="657">
        <v>198466</v>
      </c>
      <c r="P16" s="657"/>
      <c r="Q16" s="658"/>
      <c r="R16" s="656"/>
      <c r="S16" s="657"/>
      <c r="T16" s="657"/>
      <c r="U16" s="657"/>
      <c r="V16" s="657"/>
      <c r="W16" s="657"/>
      <c r="X16" s="659"/>
    </row>
    <row r="17" spans="1:24" ht="36" customHeight="1" hidden="1">
      <c r="A17" s="55">
        <v>10</v>
      </c>
      <c r="B17" s="1125" t="s">
        <v>406</v>
      </c>
      <c r="C17" s="1126"/>
      <c r="D17" s="656"/>
      <c r="E17" s="657"/>
      <c r="F17" s="657"/>
      <c r="G17" s="657"/>
      <c r="H17" s="657"/>
      <c r="I17" s="657"/>
      <c r="J17" s="658"/>
      <c r="K17" s="656"/>
      <c r="L17" s="657"/>
      <c r="M17" s="657"/>
      <c r="N17" s="657"/>
      <c r="O17" s="657"/>
      <c r="P17" s="657"/>
      <c r="Q17" s="658"/>
      <c r="R17" s="656"/>
      <c r="S17" s="657"/>
      <c r="T17" s="657"/>
      <c r="U17" s="657"/>
      <c r="V17" s="657"/>
      <c r="W17" s="657"/>
      <c r="X17" s="659"/>
    </row>
    <row r="18" spans="1:24" ht="27.75" customHeight="1">
      <c r="A18" s="55">
        <v>10</v>
      </c>
      <c r="B18" s="1127" t="s">
        <v>407</v>
      </c>
      <c r="C18" s="1127"/>
      <c r="D18" s="660">
        <v>1206500</v>
      </c>
      <c r="E18" s="661">
        <v>1206500</v>
      </c>
      <c r="F18" s="661">
        <v>1206500</v>
      </c>
      <c r="G18" s="661">
        <v>1206500</v>
      </c>
      <c r="H18" s="661">
        <v>1206500</v>
      </c>
      <c r="I18" s="661"/>
      <c r="J18" s="658"/>
      <c r="K18" s="660">
        <v>1206500</v>
      </c>
      <c r="L18" s="661">
        <v>1206500</v>
      </c>
      <c r="M18" s="661">
        <v>1206500</v>
      </c>
      <c r="N18" s="661">
        <v>1206500</v>
      </c>
      <c r="O18" s="661">
        <v>1206500</v>
      </c>
      <c r="P18" s="661"/>
      <c r="Q18" s="658"/>
      <c r="R18" s="660"/>
      <c r="S18" s="661"/>
      <c r="T18" s="661"/>
      <c r="U18" s="661"/>
      <c r="V18" s="661"/>
      <c r="W18" s="661"/>
      <c r="X18" s="662"/>
    </row>
    <row r="19" spans="1:24" ht="27.75" customHeight="1" thickBot="1">
      <c r="A19" s="55">
        <v>11</v>
      </c>
      <c r="B19" s="1128" t="s">
        <v>580</v>
      </c>
      <c r="C19" s="1127"/>
      <c r="D19" s="660"/>
      <c r="E19" s="661"/>
      <c r="F19" s="661"/>
      <c r="G19" s="661">
        <v>76342</v>
      </c>
      <c r="H19" s="661">
        <v>76342</v>
      </c>
      <c r="I19" s="661"/>
      <c r="J19" s="658"/>
      <c r="K19" s="660"/>
      <c r="L19" s="661"/>
      <c r="M19" s="661"/>
      <c r="N19" s="661">
        <v>76342</v>
      </c>
      <c r="O19" s="661">
        <v>76342</v>
      </c>
      <c r="P19" s="661"/>
      <c r="Q19" s="658"/>
      <c r="R19" s="660"/>
      <c r="S19" s="661"/>
      <c r="T19" s="661"/>
      <c r="U19" s="661"/>
      <c r="V19" s="661"/>
      <c r="W19" s="661"/>
      <c r="X19" s="662"/>
    </row>
    <row r="20" spans="1:24" ht="27.75" customHeight="1" hidden="1" thickBot="1">
      <c r="A20" s="663">
        <v>13</v>
      </c>
      <c r="B20" s="1129" t="s">
        <v>430</v>
      </c>
      <c r="C20" s="1130"/>
      <c r="D20" s="664"/>
      <c r="E20" s="665"/>
      <c r="F20" s="665"/>
      <c r="G20" s="665"/>
      <c r="H20" s="665"/>
      <c r="I20" s="665"/>
      <c r="J20" s="811"/>
      <c r="K20" s="664"/>
      <c r="L20" s="665"/>
      <c r="M20" s="665"/>
      <c r="N20" s="665"/>
      <c r="O20" s="665"/>
      <c r="P20" s="665"/>
      <c r="Q20" s="811"/>
      <c r="R20" s="664"/>
      <c r="S20" s="665"/>
      <c r="T20" s="665"/>
      <c r="U20" s="665"/>
      <c r="V20" s="665"/>
      <c r="W20" s="665"/>
      <c r="X20" s="666"/>
    </row>
    <row r="21" spans="1:24" ht="32.25" customHeight="1" thickBot="1">
      <c r="A21" s="667"/>
      <c r="B21" s="1123" t="s">
        <v>408</v>
      </c>
      <c r="C21" s="1123"/>
      <c r="D21" s="668">
        <f>SUM(D8:D18)</f>
        <v>62430894</v>
      </c>
      <c r="E21" s="669">
        <f>SUM(E8:E18)</f>
        <v>62430894</v>
      </c>
      <c r="F21" s="669">
        <f>SUM(F8:F18)</f>
        <v>62226354</v>
      </c>
      <c r="G21" s="669">
        <f>SUM(G8:G19)</f>
        <v>63697010</v>
      </c>
      <c r="H21" s="669">
        <f>SUM(H8:H19)</f>
        <v>65731491</v>
      </c>
      <c r="I21" s="669">
        <f>SUM(I8:I18)</f>
        <v>0</v>
      </c>
      <c r="J21" s="881">
        <f>H21/G21</f>
        <v>1.0319399764604336</v>
      </c>
      <c r="K21" s="668">
        <f>SUM(K8:K18)</f>
        <v>60589170</v>
      </c>
      <c r="L21" s="669">
        <f>SUM(L8:L18)</f>
        <v>60589170</v>
      </c>
      <c r="M21" s="669">
        <f>SUM(M8:M18)</f>
        <v>60384630</v>
      </c>
      <c r="N21" s="669">
        <f>SUM(N8:N19)</f>
        <v>61855286</v>
      </c>
      <c r="O21" s="669">
        <f>SUM(O8:O19)</f>
        <v>63889767</v>
      </c>
      <c r="P21" s="669">
        <f>SUM(P8:P18)</f>
        <v>0</v>
      </c>
      <c r="Q21" s="881">
        <f>O21/N21</f>
        <v>1.0328909804086914</v>
      </c>
      <c r="R21" s="668">
        <f aca="true" t="shared" si="0" ref="R21:W21">SUM(R8:R18)</f>
        <v>1841724</v>
      </c>
      <c r="S21" s="669">
        <f t="shared" si="0"/>
        <v>1841724</v>
      </c>
      <c r="T21" s="669">
        <f t="shared" si="0"/>
        <v>1841724</v>
      </c>
      <c r="U21" s="669">
        <f t="shared" si="0"/>
        <v>1841724</v>
      </c>
      <c r="V21" s="669">
        <f t="shared" si="0"/>
        <v>1841724</v>
      </c>
      <c r="W21" s="669">
        <f t="shared" si="0"/>
        <v>0</v>
      </c>
      <c r="X21" s="670">
        <f>V21/U21</f>
        <v>1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42"/>
      <c r="I25" s="642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2">
    <mergeCell ref="K1:R1"/>
    <mergeCell ref="A2:R2"/>
    <mergeCell ref="A3:R3"/>
    <mergeCell ref="A4:R4"/>
    <mergeCell ref="B6:C6"/>
    <mergeCell ref="D6:J6"/>
    <mergeCell ref="K6:Q6"/>
    <mergeCell ref="R6:X6"/>
    <mergeCell ref="R5:U5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75" zoomScaleNormal="75" workbookViewId="0" topLeftCell="A1">
      <selection activeCell="A2" sqref="A2:Q2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57421875" style="27" customWidth="1"/>
    <col min="4" max="6" width="17.00390625" style="27" customWidth="1"/>
    <col min="7" max="7" width="18.00390625" style="27" customWidth="1"/>
    <col min="8" max="8" width="12.7109375" style="27" hidden="1" customWidth="1"/>
    <col min="9" max="9" width="5.28125" style="27" hidden="1" customWidth="1"/>
    <col min="10" max="10" width="21.00390625" style="27" customWidth="1"/>
    <col min="11" max="13" width="17.00390625" style="27" customWidth="1"/>
    <col min="14" max="14" width="21.421875" style="27" customWidth="1"/>
    <col min="15" max="15" width="12.7109375" style="27" hidden="1" customWidth="1"/>
    <col min="16" max="16" width="12.57421875" style="27" hidden="1" customWidth="1"/>
    <col min="17" max="17" width="22.57421875" style="27" customWidth="1"/>
    <col min="18" max="18" width="14.28125" style="13" customWidth="1"/>
    <col min="19" max="19" width="17.421875" style="13" customWidth="1"/>
    <col min="20" max="20" width="18.28125" style="13" customWidth="1"/>
    <col min="21" max="21" width="18.421875" style="13" customWidth="1"/>
    <col min="22" max="22" width="12.71093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160" t="s">
        <v>365</v>
      </c>
      <c r="K1" s="1160"/>
      <c r="L1" s="1160"/>
      <c r="M1" s="1160"/>
      <c r="N1" s="1160"/>
      <c r="O1" s="1160"/>
      <c r="P1" s="1160"/>
      <c r="Q1" s="1160"/>
    </row>
    <row r="2" spans="1:17" ht="37.5" customHeight="1">
      <c r="A2" s="1161" t="s">
        <v>409</v>
      </c>
      <c r="B2" s="1161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 ht="18.75" customHeight="1">
      <c r="A3" s="1163" t="s">
        <v>526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</row>
    <row r="4" spans="1:17" ht="15.75">
      <c r="A4" s="1164" t="s">
        <v>410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</row>
    <row r="5" spans="1:17" ht="19.5" thickBot="1">
      <c r="A5" s="672"/>
      <c r="B5" s="672"/>
      <c r="Q5" s="671" t="s">
        <v>511</v>
      </c>
    </row>
    <row r="6" spans="1:24" ht="19.5" customHeight="1">
      <c r="A6" s="1142" t="s">
        <v>411</v>
      </c>
      <c r="B6" s="1145" t="s">
        <v>412</v>
      </c>
      <c r="C6" s="1148" t="s">
        <v>5</v>
      </c>
      <c r="D6" s="1149"/>
      <c r="E6" s="1149"/>
      <c r="F6" s="1149"/>
      <c r="G6" s="1149"/>
      <c r="H6" s="1149"/>
      <c r="I6" s="1150"/>
      <c r="J6" s="1148" t="s">
        <v>413</v>
      </c>
      <c r="K6" s="1149"/>
      <c r="L6" s="1149"/>
      <c r="M6" s="1149"/>
      <c r="N6" s="1149"/>
      <c r="O6" s="1149"/>
      <c r="P6" s="1150"/>
      <c r="Q6" s="1148" t="s">
        <v>28</v>
      </c>
      <c r="R6" s="1149"/>
      <c r="S6" s="1149"/>
      <c r="T6" s="1149"/>
      <c r="U6" s="1149"/>
      <c r="V6" s="1149"/>
      <c r="W6" s="1157"/>
      <c r="X6" s="673"/>
    </row>
    <row r="7" spans="1:24" ht="12.75" customHeight="1">
      <c r="A7" s="1143"/>
      <c r="B7" s="1146"/>
      <c r="C7" s="1151"/>
      <c r="D7" s="1152"/>
      <c r="E7" s="1152"/>
      <c r="F7" s="1152"/>
      <c r="G7" s="1152"/>
      <c r="H7" s="1152"/>
      <c r="I7" s="1153"/>
      <c r="J7" s="1151"/>
      <c r="K7" s="1152"/>
      <c r="L7" s="1152"/>
      <c r="M7" s="1152"/>
      <c r="N7" s="1152"/>
      <c r="O7" s="1152"/>
      <c r="P7" s="1153"/>
      <c r="Q7" s="1151"/>
      <c r="R7" s="1152"/>
      <c r="S7" s="1152"/>
      <c r="T7" s="1152"/>
      <c r="U7" s="1152"/>
      <c r="V7" s="1152"/>
      <c r="W7" s="1158"/>
      <c r="X7" s="675"/>
    </row>
    <row r="8" spans="1:24" ht="20.25" customHeight="1" thickBot="1">
      <c r="A8" s="1144"/>
      <c r="B8" s="1147"/>
      <c r="C8" s="1154"/>
      <c r="D8" s="1155"/>
      <c r="E8" s="1155"/>
      <c r="F8" s="1155"/>
      <c r="G8" s="1155"/>
      <c r="H8" s="1155"/>
      <c r="I8" s="1156"/>
      <c r="J8" s="1154"/>
      <c r="K8" s="1155"/>
      <c r="L8" s="1155"/>
      <c r="M8" s="1155"/>
      <c r="N8" s="1155"/>
      <c r="O8" s="1155"/>
      <c r="P8" s="1156"/>
      <c r="Q8" s="1154"/>
      <c r="R8" s="1155"/>
      <c r="S8" s="1155"/>
      <c r="T8" s="1155"/>
      <c r="U8" s="1155"/>
      <c r="V8" s="1155"/>
      <c r="W8" s="1159"/>
      <c r="X8" s="675"/>
    </row>
    <row r="9" spans="1:24" ht="57" thickTop="1">
      <c r="A9" s="676"/>
      <c r="B9" s="674"/>
      <c r="C9" s="677" t="s">
        <v>67</v>
      </c>
      <c r="D9" s="677" t="s">
        <v>231</v>
      </c>
      <c r="E9" s="677" t="s">
        <v>234</v>
      </c>
      <c r="F9" s="677" t="s">
        <v>237</v>
      </c>
      <c r="G9" s="678" t="s">
        <v>251</v>
      </c>
      <c r="H9" s="678" t="s">
        <v>256</v>
      </c>
      <c r="I9" s="678" t="s">
        <v>240</v>
      </c>
      <c r="J9" s="677" t="s">
        <v>67</v>
      </c>
      <c r="K9" s="677" t="s">
        <v>231</v>
      </c>
      <c r="L9" s="677" t="s">
        <v>234</v>
      </c>
      <c r="M9" s="677" t="s">
        <v>237</v>
      </c>
      <c r="N9" s="678" t="s">
        <v>251</v>
      </c>
      <c r="O9" s="678" t="s">
        <v>256</v>
      </c>
      <c r="P9" s="678" t="s">
        <v>240</v>
      </c>
      <c r="Q9" s="677" t="s">
        <v>67</v>
      </c>
      <c r="R9" s="677" t="s">
        <v>231</v>
      </c>
      <c r="S9" s="677" t="s">
        <v>234</v>
      </c>
      <c r="T9" s="677" t="s">
        <v>237</v>
      </c>
      <c r="U9" s="678" t="s">
        <v>251</v>
      </c>
      <c r="V9" s="678" t="s">
        <v>256</v>
      </c>
      <c r="W9" s="679" t="s">
        <v>240</v>
      </c>
      <c r="X9" s="675"/>
    </row>
    <row r="10" spans="1:24" ht="27" customHeight="1">
      <c r="A10" s="680" t="s">
        <v>469</v>
      </c>
      <c r="B10" s="681" t="s">
        <v>208</v>
      </c>
      <c r="C10" s="682">
        <v>100000</v>
      </c>
      <c r="D10" s="682">
        <v>100000</v>
      </c>
      <c r="E10" s="682">
        <v>100000</v>
      </c>
      <c r="F10" s="682">
        <v>100000</v>
      </c>
      <c r="G10" s="682">
        <v>100000</v>
      </c>
      <c r="H10" s="682"/>
      <c r="I10" s="684"/>
      <c r="J10" s="682"/>
      <c r="K10" s="682"/>
      <c r="L10" s="682"/>
      <c r="M10" s="682"/>
      <c r="N10" s="683"/>
      <c r="O10" s="683"/>
      <c r="P10" s="684"/>
      <c r="Q10" s="682">
        <v>100000</v>
      </c>
      <c r="R10" s="682">
        <v>100000</v>
      </c>
      <c r="S10" s="682">
        <v>100000</v>
      </c>
      <c r="T10" s="682">
        <v>100000</v>
      </c>
      <c r="U10" s="682">
        <v>100000</v>
      </c>
      <c r="V10" s="682"/>
      <c r="W10" s="684">
        <f aca="true" t="shared" si="0" ref="W10:W15">U10/T10</f>
        <v>1</v>
      </c>
      <c r="X10" s="675"/>
    </row>
    <row r="11" spans="1:24" ht="27.75" customHeight="1">
      <c r="A11" s="680" t="s">
        <v>470</v>
      </c>
      <c r="B11" s="681" t="s">
        <v>208</v>
      </c>
      <c r="C11" s="682">
        <v>500000</v>
      </c>
      <c r="D11" s="682">
        <v>500000</v>
      </c>
      <c r="E11" s="682">
        <v>500000</v>
      </c>
      <c r="F11" s="682">
        <v>500000</v>
      </c>
      <c r="G11" s="682">
        <v>500000</v>
      </c>
      <c r="H11" s="682"/>
      <c r="I11" s="684"/>
      <c r="J11" s="682"/>
      <c r="K11" s="682"/>
      <c r="L11" s="682"/>
      <c r="M11" s="682"/>
      <c r="N11" s="682"/>
      <c r="O11" s="683"/>
      <c r="P11" s="684"/>
      <c r="Q11" s="682">
        <v>500000</v>
      </c>
      <c r="R11" s="682">
        <v>500000</v>
      </c>
      <c r="S11" s="682">
        <v>500000</v>
      </c>
      <c r="T11" s="682">
        <v>500000</v>
      </c>
      <c r="U11" s="682">
        <v>500000</v>
      </c>
      <c r="V11" s="682"/>
      <c r="W11" s="684">
        <f t="shared" si="0"/>
        <v>1</v>
      </c>
      <c r="X11" s="675"/>
    </row>
    <row r="12" spans="1:24" ht="27" customHeight="1" hidden="1">
      <c r="A12" s="680" t="s">
        <v>414</v>
      </c>
      <c r="B12" s="681" t="s">
        <v>208</v>
      </c>
      <c r="C12" s="682"/>
      <c r="D12" s="682"/>
      <c r="E12" s="682"/>
      <c r="F12" s="682"/>
      <c r="G12" s="682"/>
      <c r="H12" s="682"/>
      <c r="I12" s="684"/>
      <c r="J12" s="682"/>
      <c r="K12" s="682"/>
      <c r="L12" s="682"/>
      <c r="M12" s="682"/>
      <c r="N12" s="682"/>
      <c r="O12" s="682"/>
      <c r="P12" s="685"/>
      <c r="Q12" s="682"/>
      <c r="R12" s="682"/>
      <c r="S12" s="682"/>
      <c r="T12" s="682"/>
      <c r="U12" s="682"/>
      <c r="V12" s="682"/>
      <c r="W12" s="684" t="e">
        <f t="shared" si="0"/>
        <v>#DIV/0!</v>
      </c>
      <c r="X12" s="675"/>
    </row>
    <row r="13" spans="1:26" ht="28.5" customHeight="1">
      <c r="A13" s="680" t="s">
        <v>471</v>
      </c>
      <c r="B13" s="681" t="s">
        <v>208</v>
      </c>
      <c r="C13" s="682">
        <v>1150000</v>
      </c>
      <c r="D13" s="682">
        <v>1150000</v>
      </c>
      <c r="E13" s="682">
        <v>1150000</v>
      </c>
      <c r="F13" s="682">
        <v>1150000</v>
      </c>
      <c r="G13" s="682">
        <v>1150000</v>
      </c>
      <c r="H13" s="682"/>
      <c r="I13" s="684"/>
      <c r="J13" s="682"/>
      <c r="K13" s="682"/>
      <c r="L13" s="682"/>
      <c r="M13" s="682"/>
      <c r="N13" s="682"/>
      <c r="O13" s="682"/>
      <c r="P13" s="685"/>
      <c r="Q13" s="682">
        <v>1150000</v>
      </c>
      <c r="R13" s="682">
        <v>1150000</v>
      </c>
      <c r="S13" s="682">
        <v>1150000</v>
      </c>
      <c r="T13" s="682">
        <v>1150000</v>
      </c>
      <c r="U13" s="682">
        <v>1150000</v>
      </c>
      <c r="V13" s="682"/>
      <c r="W13" s="684">
        <f t="shared" si="0"/>
        <v>1</v>
      </c>
      <c r="X13" s="675"/>
      <c r="Z13" s="27"/>
    </row>
    <row r="14" spans="1:24" ht="32.25" customHeight="1">
      <c r="A14" s="680" t="s">
        <v>472</v>
      </c>
      <c r="B14" s="681" t="s">
        <v>208</v>
      </c>
      <c r="C14" s="682">
        <v>500000</v>
      </c>
      <c r="D14" s="682">
        <v>500000</v>
      </c>
      <c r="E14" s="682">
        <v>500000</v>
      </c>
      <c r="F14" s="682">
        <v>500000</v>
      </c>
      <c r="G14" s="682">
        <v>500000</v>
      </c>
      <c r="H14" s="682"/>
      <c r="I14" s="684"/>
      <c r="J14" s="682"/>
      <c r="K14" s="682"/>
      <c r="L14" s="682"/>
      <c r="M14" s="682"/>
      <c r="N14" s="682"/>
      <c r="O14" s="682"/>
      <c r="P14" s="685"/>
      <c r="Q14" s="682">
        <v>500000</v>
      </c>
      <c r="R14" s="682">
        <v>500000</v>
      </c>
      <c r="S14" s="682">
        <v>500000</v>
      </c>
      <c r="T14" s="682">
        <v>500000</v>
      </c>
      <c r="U14" s="682">
        <v>500000</v>
      </c>
      <c r="V14" s="682"/>
      <c r="W14" s="684">
        <f t="shared" si="0"/>
        <v>1</v>
      </c>
      <c r="X14" s="675"/>
    </row>
    <row r="15" spans="1:24" ht="33" customHeight="1">
      <c r="A15" s="680" t="s">
        <v>481</v>
      </c>
      <c r="B15" s="681" t="s">
        <v>208</v>
      </c>
      <c r="C15" s="687">
        <v>500000</v>
      </c>
      <c r="D15" s="687">
        <v>500000</v>
      </c>
      <c r="E15" s="687">
        <v>500000</v>
      </c>
      <c r="F15" s="687">
        <v>500000</v>
      </c>
      <c r="G15" s="687">
        <v>500000</v>
      </c>
      <c r="H15" s="687"/>
      <c r="I15" s="684"/>
      <c r="J15" s="687"/>
      <c r="K15" s="687"/>
      <c r="L15" s="687"/>
      <c r="M15" s="687"/>
      <c r="N15" s="687"/>
      <c r="O15" s="687"/>
      <c r="P15" s="685"/>
      <c r="Q15" s="687">
        <v>500000</v>
      </c>
      <c r="R15" s="687">
        <v>500000</v>
      </c>
      <c r="S15" s="687">
        <v>500000</v>
      </c>
      <c r="T15" s="687">
        <v>500000</v>
      </c>
      <c r="U15" s="687">
        <v>500000</v>
      </c>
      <c r="V15" s="687"/>
      <c r="W15" s="684">
        <f t="shared" si="0"/>
        <v>1</v>
      </c>
      <c r="X15" s="675"/>
    </row>
    <row r="16" spans="1:24" ht="33" customHeight="1">
      <c r="A16" s="680" t="s">
        <v>528</v>
      </c>
      <c r="B16" s="681" t="s">
        <v>209</v>
      </c>
      <c r="C16" s="687">
        <v>977016</v>
      </c>
      <c r="D16" s="687">
        <v>977016</v>
      </c>
      <c r="E16" s="687">
        <v>977016</v>
      </c>
      <c r="F16" s="687">
        <v>977016</v>
      </c>
      <c r="G16" s="687">
        <f>977016-22230</f>
        <v>954786</v>
      </c>
      <c r="H16" s="687"/>
      <c r="I16" s="685"/>
      <c r="J16" s="687">
        <v>644670</v>
      </c>
      <c r="K16" s="687">
        <v>644670</v>
      </c>
      <c r="L16" s="687">
        <v>644670</v>
      </c>
      <c r="M16" s="687">
        <v>644670</v>
      </c>
      <c r="N16" s="687">
        <f>644670-22230</f>
        <v>622440</v>
      </c>
      <c r="O16" s="687"/>
      <c r="P16" s="685"/>
      <c r="Q16" s="687">
        <f aca="true" t="shared" si="1" ref="Q16:U18">C16-J16</f>
        <v>332346</v>
      </c>
      <c r="R16" s="687">
        <f t="shared" si="1"/>
        <v>332346</v>
      </c>
      <c r="S16" s="687">
        <f t="shared" si="1"/>
        <v>332346</v>
      </c>
      <c r="T16" s="687">
        <f t="shared" si="1"/>
        <v>332346</v>
      </c>
      <c r="U16" s="687">
        <f t="shared" si="1"/>
        <v>332346</v>
      </c>
      <c r="V16" s="687"/>
      <c r="W16" s="882"/>
      <c r="X16" s="675"/>
    </row>
    <row r="17" spans="1:24" ht="33" customHeight="1" hidden="1" thickBot="1">
      <c r="A17" s="916" t="s">
        <v>495</v>
      </c>
      <c r="B17" s="917" t="s">
        <v>209</v>
      </c>
      <c r="C17" s="918"/>
      <c r="D17" s="918"/>
      <c r="E17" s="918"/>
      <c r="F17" s="918"/>
      <c r="G17" s="918"/>
      <c r="H17" s="918"/>
      <c r="I17" s="919"/>
      <c r="J17" s="918"/>
      <c r="K17" s="918"/>
      <c r="L17" s="918"/>
      <c r="M17" s="918"/>
      <c r="N17" s="918"/>
      <c r="O17" s="918"/>
      <c r="P17" s="919"/>
      <c r="Q17" s="687">
        <f t="shared" si="1"/>
        <v>0</v>
      </c>
      <c r="R17" s="687">
        <f t="shared" si="1"/>
        <v>0</v>
      </c>
      <c r="S17" s="687">
        <f t="shared" si="1"/>
        <v>0</v>
      </c>
      <c r="T17" s="687">
        <f t="shared" si="1"/>
        <v>0</v>
      </c>
      <c r="U17" s="687">
        <f t="shared" si="1"/>
        <v>0</v>
      </c>
      <c r="V17" s="918"/>
      <c r="W17" s="882"/>
      <c r="X17" s="675"/>
    </row>
    <row r="18" spans="1:24" ht="33" customHeight="1" thickBot="1">
      <c r="A18" s="916" t="s">
        <v>527</v>
      </c>
      <c r="B18" s="917" t="s">
        <v>209</v>
      </c>
      <c r="C18" s="918">
        <v>1047750</v>
      </c>
      <c r="D18" s="918">
        <v>1047750</v>
      </c>
      <c r="E18" s="918">
        <v>1047750</v>
      </c>
      <c r="F18" s="918">
        <v>1047750</v>
      </c>
      <c r="G18" s="918">
        <v>1047750</v>
      </c>
      <c r="H18" s="918"/>
      <c r="I18" s="919"/>
      <c r="J18" s="918">
        <v>977900</v>
      </c>
      <c r="K18" s="918">
        <v>977900</v>
      </c>
      <c r="L18" s="918">
        <v>977900</v>
      </c>
      <c r="M18" s="918">
        <v>977900</v>
      </c>
      <c r="N18" s="918">
        <v>977900</v>
      </c>
      <c r="O18" s="918"/>
      <c r="P18" s="919"/>
      <c r="Q18" s="687">
        <f t="shared" si="1"/>
        <v>69850</v>
      </c>
      <c r="R18" s="687">
        <f t="shared" si="1"/>
        <v>69850</v>
      </c>
      <c r="S18" s="687">
        <f t="shared" si="1"/>
        <v>69850</v>
      </c>
      <c r="T18" s="687">
        <f t="shared" si="1"/>
        <v>69850</v>
      </c>
      <c r="U18" s="687">
        <f t="shared" si="1"/>
        <v>69850</v>
      </c>
      <c r="V18" s="918"/>
      <c r="W18" s="882"/>
      <c r="X18" s="922"/>
    </row>
    <row r="19" spans="1:24" ht="39" customHeight="1" thickBot="1" thickTop="1">
      <c r="A19" s="688" t="s">
        <v>22</v>
      </c>
      <c r="B19" s="689"/>
      <c r="C19" s="690">
        <f>SUM(C10:C18)</f>
        <v>4774766</v>
      </c>
      <c r="D19" s="690">
        <f>SUM(D10:D18)</f>
        <v>4774766</v>
      </c>
      <c r="E19" s="690">
        <f>SUM(E10:E18)</f>
        <v>4774766</v>
      </c>
      <c r="F19" s="690">
        <f>SUM(F10:F18)</f>
        <v>4774766</v>
      </c>
      <c r="G19" s="690">
        <f>SUM(G10:G18)</f>
        <v>4752536</v>
      </c>
      <c r="H19" s="690">
        <f aca="true" t="shared" si="2" ref="H19:Q19">SUM(H10:H18)</f>
        <v>0</v>
      </c>
      <c r="I19" s="690">
        <f t="shared" si="2"/>
        <v>0</v>
      </c>
      <c r="J19" s="690">
        <f t="shared" si="2"/>
        <v>1622570</v>
      </c>
      <c r="K19" s="690">
        <f>SUM(K10:K18)</f>
        <v>1622570</v>
      </c>
      <c r="L19" s="690">
        <f t="shared" si="2"/>
        <v>1622570</v>
      </c>
      <c r="M19" s="690">
        <f>SUM(M10:M18)</f>
        <v>1622570</v>
      </c>
      <c r="N19" s="690">
        <f>SUM(N10:N18)</f>
        <v>1600340</v>
      </c>
      <c r="O19" s="690">
        <f t="shared" si="2"/>
        <v>0</v>
      </c>
      <c r="P19" s="690">
        <f t="shared" si="2"/>
        <v>0</v>
      </c>
      <c r="Q19" s="690">
        <f t="shared" si="2"/>
        <v>3152196</v>
      </c>
      <c r="R19" s="690">
        <f>SUM(R10:R18)</f>
        <v>3152196</v>
      </c>
      <c r="S19" s="690">
        <f>SUM(S10:S18)</f>
        <v>3152196</v>
      </c>
      <c r="T19" s="690">
        <f>SUM(T10:T18)</f>
        <v>3152196</v>
      </c>
      <c r="U19" s="690">
        <f>SUM(U10:U18)</f>
        <v>3152196</v>
      </c>
      <c r="V19" s="690">
        <f>SUM(V10:V15)</f>
        <v>0</v>
      </c>
      <c r="W19" s="691">
        <f>U19/R19</f>
        <v>1</v>
      </c>
      <c r="X19" s="922"/>
    </row>
    <row r="20" spans="1:24" ht="19.5" customHeight="1">
      <c r="A20" s="692"/>
      <c r="B20" s="692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X20" s="694"/>
    </row>
    <row r="21" spans="1:17" ht="66" customHeight="1" thickBot="1">
      <c r="A21" s="1141" t="s">
        <v>415</v>
      </c>
      <c r="B21" s="1141"/>
      <c r="C21" s="1141"/>
      <c r="D21" s="1141"/>
      <c r="E21" s="1141"/>
      <c r="F21" s="1141"/>
      <c r="G21" s="1141"/>
      <c r="H21" s="1141"/>
      <c r="I21" s="1141"/>
      <c r="J21" s="1141"/>
      <c r="K21" s="1141"/>
      <c r="L21" s="1141"/>
      <c r="M21" s="1141"/>
      <c r="N21" s="1141"/>
      <c r="O21" s="1141"/>
      <c r="P21" s="1141"/>
      <c r="Q21" s="1141"/>
    </row>
    <row r="22" spans="1:24" ht="19.5" customHeight="1">
      <c r="A22" s="1142" t="s">
        <v>411</v>
      </c>
      <c r="B22" s="1145" t="s">
        <v>412</v>
      </c>
      <c r="C22" s="1148" t="s">
        <v>5</v>
      </c>
      <c r="D22" s="1149"/>
      <c r="E22" s="1149"/>
      <c r="F22" s="1149"/>
      <c r="G22" s="1149"/>
      <c r="H22" s="1149"/>
      <c r="I22" s="1150"/>
      <c r="J22" s="1148" t="s">
        <v>413</v>
      </c>
      <c r="K22" s="1149"/>
      <c r="L22" s="1149"/>
      <c r="M22" s="1149"/>
      <c r="N22" s="1149"/>
      <c r="O22" s="1149"/>
      <c r="P22" s="1150"/>
      <c r="Q22" s="1148" t="s">
        <v>28</v>
      </c>
      <c r="R22" s="1149"/>
      <c r="S22" s="1149"/>
      <c r="T22" s="1149"/>
      <c r="U22" s="1149"/>
      <c r="V22" s="1149"/>
      <c r="W22" s="1157"/>
      <c r="X22" s="675"/>
    </row>
    <row r="23" spans="1:24" s="696" customFormat="1" ht="19.5" customHeight="1">
      <c r="A23" s="1143"/>
      <c r="B23" s="1146"/>
      <c r="C23" s="1151"/>
      <c r="D23" s="1152"/>
      <c r="E23" s="1152"/>
      <c r="F23" s="1152"/>
      <c r="G23" s="1152"/>
      <c r="H23" s="1152"/>
      <c r="I23" s="1153"/>
      <c r="J23" s="1151"/>
      <c r="K23" s="1152"/>
      <c r="L23" s="1152"/>
      <c r="M23" s="1152"/>
      <c r="N23" s="1152"/>
      <c r="O23" s="1152"/>
      <c r="P23" s="1153"/>
      <c r="Q23" s="1151"/>
      <c r="R23" s="1152"/>
      <c r="S23" s="1152"/>
      <c r="T23" s="1152"/>
      <c r="U23" s="1152"/>
      <c r="V23" s="1152"/>
      <c r="W23" s="1158"/>
      <c r="X23" s="695"/>
    </row>
    <row r="24" spans="1:24" s="696" customFormat="1" ht="19.5" customHeight="1" thickBot="1">
      <c r="A24" s="1144"/>
      <c r="B24" s="1147"/>
      <c r="C24" s="1154"/>
      <c r="D24" s="1155"/>
      <c r="E24" s="1155"/>
      <c r="F24" s="1155"/>
      <c r="G24" s="1155"/>
      <c r="H24" s="1155"/>
      <c r="I24" s="1156"/>
      <c r="J24" s="1154"/>
      <c r="K24" s="1155"/>
      <c r="L24" s="1155"/>
      <c r="M24" s="1155"/>
      <c r="N24" s="1155"/>
      <c r="O24" s="1155"/>
      <c r="P24" s="1156"/>
      <c r="Q24" s="1154"/>
      <c r="R24" s="1155"/>
      <c r="S24" s="1155"/>
      <c r="T24" s="1155"/>
      <c r="U24" s="1155"/>
      <c r="V24" s="1155"/>
      <c r="W24" s="1159"/>
      <c r="X24" s="695"/>
    </row>
    <row r="25" spans="1:24" s="696" customFormat="1" ht="57.75" customHeight="1" thickTop="1">
      <c r="A25" s="697"/>
      <c r="B25" s="698"/>
      <c r="C25" s="678" t="s">
        <v>67</v>
      </c>
      <c r="D25" s="678" t="s">
        <v>231</v>
      </c>
      <c r="E25" s="678" t="s">
        <v>234</v>
      </c>
      <c r="F25" s="677" t="s">
        <v>237</v>
      </c>
      <c r="G25" s="678" t="s">
        <v>251</v>
      </c>
      <c r="H25" s="678" t="s">
        <v>256</v>
      </c>
      <c r="I25" s="678" t="s">
        <v>240</v>
      </c>
      <c r="J25" s="678" t="s">
        <v>67</v>
      </c>
      <c r="K25" s="678" t="s">
        <v>231</v>
      </c>
      <c r="L25" s="678" t="s">
        <v>234</v>
      </c>
      <c r="M25" s="677" t="s">
        <v>237</v>
      </c>
      <c r="N25" s="678" t="s">
        <v>251</v>
      </c>
      <c r="O25" s="678" t="s">
        <v>256</v>
      </c>
      <c r="P25" s="678" t="s">
        <v>240</v>
      </c>
      <c r="Q25" s="678" t="s">
        <v>67</v>
      </c>
      <c r="R25" s="678" t="s">
        <v>231</v>
      </c>
      <c r="S25" s="678" t="s">
        <v>234</v>
      </c>
      <c r="T25" s="678" t="s">
        <v>237</v>
      </c>
      <c r="U25" s="678" t="s">
        <v>251</v>
      </c>
      <c r="V25" s="678" t="s">
        <v>256</v>
      </c>
      <c r="W25" s="679" t="s">
        <v>240</v>
      </c>
      <c r="X25" s="695"/>
    </row>
    <row r="26" spans="1:24" s="696" customFormat="1" ht="34.5" customHeight="1" hidden="1">
      <c r="A26" s="699" t="s">
        <v>416</v>
      </c>
      <c r="B26" s="700" t="s">
        <v>209</v>
      </c>
      <c r="C26" s="702"/>
      <c r="D26" s="702"/>
      <c r="E26" s="702"/>
      <c r="F26" s="702"/>
      <c r="G26" s="702"/>
      <c r="H26" s="702"/>
      <c r="I26" s="684"/>
      <c r="J26" s="702"/>
      <c r="K26" s="702"/>
      <c r="L26" s="702"/>
      <c r="M26" s="702"/>
      <c r="N26" s="702"/>
      <c r="O26" s="701"/>
      <c r="P26" s="684"/>
      <c r="Q26" s="702"/>
      <c r="R26" s="702"/>
      <c r="S26" s="702"/>
      <c r="T26" s="702"/>
      <c r="U26" s="701"/>
      <c r="V26" s="701"/>
      <c r="W26" s="684" t="e">
        <f>U26/R26</f>
        <v>#DIV/0!</v>
      </c>
      <c r="X26" s="695"/>
    </row>
    <row r="27" spans="1:24" s="696" customFormat="1" ht="30" hidden="1">
      <c r="A27" s="703" t="s">
        <v>417</v>
      </c>
      <c r="B27" s="704" t="s">
        <v>209</v>
      </c>
      <c r="C27" s="702"/>
      <c r="D27" s="702"/>
      <c r="E27" s="702"/>
      <c r="F27" s="702"/>
      <c r="G27" s="702"/>
      <c r="H27" s="702"/>
      <c r="I27" s="684"/>
      <c r="J27" s="702"/>
      <c r="K27" s="702"/>
      <c r="L27" s="702"/>
      <c r="M27" s="702"/>
      <c r="N27" s="702"/>
      <c r="O27" s="701"/>
      <c r="P27" s="684"/>
      <c r="Q27" s="701"/>
      <c r="R27" s="701"/>
      <c r="S27" s="701"/>
      <c r="T27" s="702"/>
      <c r="U27" s="702"/>
      <c r="V27" s="702"/>
      <c r="W27" s="684" t="e">
        <f>U27/R27</f>
        <v>#DIV/0!</v>
      </c>
      <c r="X27" s="695"/>
    </row>
    <row r="28" spans="1:24" s="696" customFormat="1" ht="30.75" customHeight="1" hidden="1">
      <c r="A28" s="703" t="s">
        <v>418</v>
      </c>
      <c r="B28" s="704" t="s">
        <v>209</v>
      </c>
      <c r="C28" s="702"/>
      <c r="D28" s="702"/>
      <c r="E28" s="702"/>
      <c r="F28" s="702"/>
      <c r="G28" s="702"/>
      <c r="H28" s="702"/>
      <c r="I28" s="684"/>
      <c r="J28" s="702"/>
      <c r="K28" s="702"/>
      <c r="L28" s="702"/>
      <c r="M28" s="702"/>
      <c r="N28" s="702"/>
      <c r="O28" s="701"/>
      <c r="P28" s="684"/>
      <c r="Q28" s="701"/>
      <c r="R28" s="701"/>
      <c r="S28" s="701"/>
      <c r="T28" s="702"/>
      <c r="U28" s="702"/>
      <c r="V28" s="702"/>
      <c r="W28" s="684" t="e">
        <f>U28/R28</f>
        <v>#DIV/0!</v>
      </c>
      <c r="X28" s="695"/>
    </row>
    <row r="29" spans="1:24" s="696" customFormat="1" ht="31.5" customHeight="1" thickBot="1">
      <c r="A29" s="703" t="s">
        <v>419</v>
      </c>
      <c r="B29" s="704" t="s">
        <v>209</v>
      </c>
      <c r="C29" s="702"/>
      <c r="D29" s="702"/>
      <c r="E29" s="702">
        <v>2500</v>
      </c>
      <c r="F29" s="702">
        <v>2500</v>
      </c>
      <c r="G29" s="702">
        <v>2500</v>
      </c>
      <c r="H29" s="702"/>
      <c r="I29" s="684"/>
      <c r="J29" s="702"/>
      <c r="K29" s="702"/>
      <c r="L29" s="702">
        <v>2250</v>
      </c>
      <c r="M29" s="702">
        <v>2250</v>
      </c>
      <c r="N29" s="702">
        <v>2250</v>
      </c>
      <c r="O29" s="701"/>
      <c r="P29" s="684"/>
      <c r="Q29" s="701"/>
      <c r="R29" s="701"/>
      <c r="S29" s="701">
        <v>250</v>
      </c>
      <c r="T29" s="702">
        <v>250</v>
      </c>
      <c r="U29" s="702">
        <v>250</v>
      </c>
      <c r="V29" s="702"/>
      <c r="W29" s="684" t="e">
        <f>U29/R29</f>
        <v>#DIV/0!</v>
      </c>
      <c r="X29" s="695"/>
    </row>
    <row r="30" spans="1:24" s="696" customFormat="1" ht="31.5" customHeight="1" hidden="1">
      <c r="A30" s="703" t="s">
        <v>420</v>
      </c>
      <c r="B30" s="704" t="s">
        <v>209</v>
      </c>
      <c r="C30" s="687"/>
      <c r="D30" s="687"/>
      <c r="E30" s="687"/>
      <c r="F30" s="687"/>
      <c r="G30" s="687"/>
      <c r="H30" s="687"/>
      <c r="I30" s="686" t="e">
        <f>G30/E30</f>
        <v>#DIV/0!</v>
      </c>
      <c r="J30" s="687"/>
      <c r="K30" s="687"/>
      <c r="L30" s="687"/>
      <c r="M30" s="687"/>
      <c r="N30" s="687"/>
      <c r="O30" s="909"/>
      <c r="P30" s="686" t="e">
        <f>N30/L30</f>
        <v>#DIV/0!</v>
      </c>
      <c r="Q30" s="687"/>
      <c r="R30" s="687"/>
      <c r="S30" s="687"/>
      <c r="T30" s="687"/>
      <c r="U30" s="687">
        <f>G30-N30</f>
        <v>0</v>
      </c>
      <c r="V30" s="909"/>
      <c r="W30" s="686" t="e">
        <f>U30/S30</f>
        <v>#DIV/0!</v>
      </c>
      <c r="X30" s="695"/>
    </row>
    <row r="31" spans="1:24" s="696" customFormat="1" ht="27.75" customHeight="1" hidden="1">
      <c r="A31" s="703" t="s">
        <v>421</v>
      </c>
      <c r="B31" s="704" t="s">
        <v>209</v>
      </c>
      <c r="C31" s="687"/>
      <c r="D31" s="687"/>
      <c r="E31" s="687"/>
      <c r="F31" s="687"/>
      <c r="G31" s="687"/>
      <c r="H31" s="687"/>
      <c r="I31" s="686">
        <v>0</v>
      </c>
      <c r="J31" s="687"/>
      <c r="K31" s="687"/>
      <c r="L31" s="687"/>
      <c r="M31" s="687"/>
      <c r="N31" s="687"/>
      <c r="O31" s="909"/>
      <c r="P31" s="686">
        <v>0</v>
      </c>
      <c r="Q31" s="687"/>
      <c r="R31" s="687"/>
      <c r="S31" s="687"/>
      <c r="T31" s="687"/>
      <c r="U31" s="687">
        <f>G31-N31</f>
        <v>0</v>
      </c>
      <c r="V31" s="909"/>
      <c r="W31" s="686">
        <v>0</v>
      </c>
      <c r="X31" s="695"/>
    </row>
    <row r="32" spans="1:24" ht="33" customHeight="1" hidden="1" thickBot="1">
      <c r="A32" s="705" t="s">
        <v>422</v>
      </c>
      <c r="B32" s="706" t="s">
        <v>209</v>
      </c>
      <c r="C32" s="707"/>
      <c r="D32" s="707"/>
      <c r="E32" s="707"/>
      <c r="F32" s="707"/>
      <c r="G32" s="707"/>
      <c r="H32" s="707"/>
      <c r="I32" s="686">
        <v>0</v>
      </c>
      <c r="J32" s="707"/>
      <c r="K32" s="707"/>
      <c r="L32" s="707"/>
      <c r="M32" s="707"/>
      <c r="N32" s="707"/>
      <c r="O32" s="910"/>
      <c r="P32" s="686">
        <v>0</v>
      </c>
      <c r="Q32" s="707"/>
      <c r="R32" s="707"/>
      <c r="S32" s="707"/>
      <c r="T32" s="707"/>
      <c r="U32" s="707">
        <f>G32-N32</f>
        <v>0</v>
      </c>
      <c r="V32" s="910"/>
      <c r="W32" s="686">
        <v>0</v>
      </c>
      <c r="X32" s="675"/>
    </row>
    <row r="33" spans="1:24" ht="33" customHeight="1" hidden="1" thickBot="1" thickTop="1">
      <c r="A33" s="708"/>
      <c r="B33" s="709"/>
      <c r="C33" s="710"/>
      <c r="D33" s="710"/>
      <c r="E33" s="710"/>
      <c r="F33" s="710"/>
      <c r="G33" s="710"/>
      <c r="H33" s="710"/>
      <c r="I33" s="686">
        <v>0</v>
      </c>
      <c r="J33" s="710"/>
      <c r="K33" s="710"/>
      <c r="L33" s="710"/>
      <c r="M33" s="710"/>
      <c r="N33" s="710"/>
      <c r="O33" s="911"/>
      <c r="P33" s="686">
        <v>0</v>
      </c>
      <c r="Q33" s="710"/>
      <c r="R33" s="710"/>
      <c r="S33" s="710"/>
      <c r="T33" s="710"/>
      <c r="U33" s="710">
        <f>G33-N33</f>
        <v>0</v>
      </c>
      <c r="V33" s="911"/>
      <c r="W33" s="686">
        <v>0</v>
      </c>
      <c r="X33" s="675"/>
    </row>
    <row r="34" spans="1:24" ht="33" customHeight="1" thickBot="1" thickTop="1">
      <c r="A34" s="688" t="s">
        <v>22</v>
      </c>
      <c r="B34" s="689"/>
      <c r="C34" s="690">
        <f aca="true" t="shared" si="3" ref="C34:H34">SUM(C26:C32)</f>
        <v>0</v>
      </c>
      <c r="D34" s="690">
        <f t="shared" si="3"/>
        <v>0</v>
      </c>
      <c r="E34" s="690">
        <f t="shared" si="3"/>
        <v>2500</v>
      </c>
      <c r="F34" s="690">
        <f t="shared" si="3"/>
        <v>2500</v>
      </c>
      <c r="G34" s="690">
        <f t="shared" si="3"/>
        <v>2500</v>
      </c>
      <c r="H34" s="690">
        <f t="shared" si="3"/>
        <v>0</v>
      </c>
      <c r="I34" s="691" t="e">
        <f>G34/D34</f>
        <v>#DIV/0!</v>
      </c>
      <c r="J34" s="690">
        <f aca="true" t="shared" si="4" ref="J34:O34">SUM(J26:J32)</f>
        <v>0</v>
      </c>
      <c r="K34" s="690">
        <f t="shared" si="4"/>
        <v>0</v>
      </c>
      <c r="L34" s="690">
        <f t="shared" si="4"/>
        <v>2250</v>
      </c>
      <c r="M34" s="690">
        <f t="shared" si="4"/>
        <v>2250</v>
      </c>
      <c r="N34" s="690">
        <f t="shared" si="4"/>
        <v>2250</v>
      </c>
      <c r="O34" s="690">
        <f t="shared" si="4"/>
        <v>0</v>
      </c>
      <c r="P34" s="691" t="e">
        <f>N34/K34</f>
        <v>#DIV/0!</v>
      </c>
      <c r="Q34" s="690">
        <f aca="true" t="shared" si="5" ref="Q34:V34">SUM(Q26:Q32)</f>
        <v>0</v>
      </c>
      <c r="R34" s="690">
        <f t="shared" si="5"/>
        <v>0</v>
      </c>
      <c r="S34" s="690">
        <f t="shared" si="5"/>
        <v>250</v>
      </c>
      <c r="T34" s="690">
        <f t="shared" si="5"/>
        <v>250</v>
      </c>
      <c r="U34" s="690">
        <f t="shared" si="5"/>
        <v>250</v>
      </c>
      <c r="V34" s="690">
        <f t="shared" si="5"/>
        <v>0</v>
      </c>
      <c r="W34" s="691" t="e">
        <f>U34/R34</f>
        <v>#DIV/0!</v>
      </c>
      <c r="X34" s="675"/>
    </row>
    <row r="37" ht="12.75">
      <c r="K37" s="711"/>
    </row>
    <row r="38" spans="8:11" ht="12.75">
      <c r="H38" s="27">
        <v>3010</v>
      </c>
      <c r="K38" s="711"/>
    </row>
    <row r="39" ht="12.75">
      <c r="K39" s="711"/>
    </row>
    <row r="40" ht="12.75">
      <c r="K40" s="711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1:Q21"/>
    <mergeCell ref="A22:A24"/>
    <mergeCell ref="B22:B24"/>
    <mergeCell ref="C22:I24"/>
    <mergeCell ref="J22:P24"/>
    <mergeCell ref="Q22:W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5"/>
  <sheetViews>
    <sheetView zoomScale="70" zoomScaleNormal="70" workbookViewId="0" topLeftCell="A1">
      <selection activeCell="A2" sqref="A2:U2"/>
    </sheetView>
  </sheetViews>
  <sheetFormatPr defaultColWidth="9.140625" defaultRowHeight="12.75"/>
  <cols>
    <col min="1" max="1" width="53.00390625" style="310" customWidth="1"/>
    <col min="2" max="3" width="17.140625" style="16" bestFit="1" customWidth="1"/>
    <col min="4" max="5" width="16.421875" style="16" customWidth="1"/>
    <col min="6" max="6" width="17.421875" style="16" customWidth="1"/>
    <col min="7" max="7" width="11.7109375" style="16" hidden="1" customWidth="1"/>
    <col min="8" max="8" width="16.00390625" style="16" hidden="1" customWidth="1"/>
    <col min="9" max="9" width="17.140625" style="16" customWidth="1"/>
    <col min="10" max="10" width="15.57421875" style="16" bestFit="1" customWidth="1"/>
    <col min="11" max="11" width="15.7109375" style="16" customWidth="1"/>
    <col min="12" max="12" width="15.00390625" style="16" customWidth="1"/>
    <col min="13" max="13" width="17.421875" style="16" customWidth="1"/>
    <col min="14" max="14" width="11.7109375" style="16" hidden="1" customWidth="1"/>
    <col min="15" max="15" width="13.421875" style="16" hidden="1" customWidth="1"/>
    <col min="16" max="16" width="16.7109375" style="16" customWidth="1"/>
    <col min="17" max="17" width="8.421875" style="16" customWidth="1"/>
    <col min="18" max="18" width="9.28125" style="16" customWidth="1"/>
    <col min="19" max="19" width="11.7109375" style="16" customWidth="1"/>
    <col min="20" max="20" width="11.57421875" style="16" customWidth="1"/>
    <col min="21" max="22" width="13.8515625" style="16" bestFit="1" customWidth="1"/>
    <col min="23" max="23" width="14.8515625" style="16" customWidth="1"/>
    <col min="24" max="24" width="14.421875" style="16" customWidth="1"/>
    <col min="25" max="25" width="14.7109375" style="16" customWidth="1"/>
    <col min="26" max="26" width="11.7109375" style="16" hidden="1" customWidth="1"/>
    <col min="27" max="27" width="14.00390625" style="16" hidden="1" customWidth="1"/>
    <col min="28" max="28" width="9.140625" style="16" customWidth="1"/>
    <col min="29" max="16384" width="9.140625" style="16" customWidth="1"/>
  </cols>
  <sheetData>
    <row r="1" spans="16:21" ht="12.75" customHeight="1">
      <c r="P1" s="1179" t="s">
        <v>366</v>
      </c>
      <c r="Q1" s="1179"/>
      <c r="R1" s="1179"/>
      <c r="S1" s="1179"/>
      <c r="T1" s="1179"/>
      <c r="U1" s="1179"/>
    </row>
    <row r="2" spans="1:21" ht="19.5">
      <c r="A2" s="1180" t="s">
        <v>586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1180"/>
      <c r="S2" s="1180"/>
      <c r="T2" s="1180"/>
      <c r="U2" s="1180"/>
    </row>
    <row r="3" spans="1:21" ht="15.75">
      <c r="A3" s="1181" t="s">
        <v>526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P3" s="1181"/>
      <c r="Q3" s="1181"/>
      <c r="R3" s="1181"/>
      <c r="S3" s="1181"/>
      <c r="T3" s="1181"/>
      <c r="U3" s="1181"/>
    </row>
    <row r="4" spans="1:21" ht="14.25">
      <c r="A4" s="1182" t="s">
        <v>195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  <c r="P4" s="1182"/>
      <c r="Q4" s="1182"/>
      <c r="R4" s="1182"/>
      <c r="S4" s="1182"/>
      <c r="T4" s="1182"/>
      <c r="U4" s="1182"/>
    </row>
    <row r="5" spans="1:21" ht="14.25">
      <c r="A5" s="980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</row>
    <row r="6" spans="1:21" ht="18.75" thickBot="1">
      <c r="A6" s="984" t="s">
        <v>587</v>
      </c>
      <c r="U6" s="12" t="s">
        <v>511</v>
      </c>
    </row>
    <row r="7" spans="1:28" ht="24.75" customHeight="1">
      <c r="A7" s="1166" t="s">
        <v>23</v>
      </c>
      <c r="B7" s="1168" t="s">
        <v>24</v>
      </c>
      <c r="C7" s="1169"/>
      <c r="D7" s="1169"/>
      <c r="E7" s="1169"/>
      <c r="F7" s="1169"/>
      <c r="G7" s="1169"/>
      <c r="H7" s="1169"/>
      <c r="I7" s="1169"/>
      <c r="J7" s="1169"/>
      <c r="K7" s="1169"/>
      <c r="L7" s="1169"/>
      <c r="M7" s="1169"/>
      <c r="N7" s="1169"/>
      <c r="O7" s="1169"/>
      <c r="P7" s="1170" t="s">
        <v>25</v>
      </c>
      <c r="Q7" s="1171"/>
      <c r="R7" s="1171"/>
      <c r="S7" s="1171"/>
      <c r="T7" s="1171"/>
      <c r="U7" s="1171"/>
      <c r="V7" s="1171"/>
      <c r="W7" s="1171"/>
      <c r="X7" s="1171"/>
      <c r="Y7" s="1171"/>
      <c r="Z7" s="1168"/>
      <c r="AA7" s="1172"/>
      <c r="AB7" s="556"/>
    </row>
    <row r="8" spans="1:28" ht="24.75" customHeight="1">
      <c r="A8" s="1167"/>
      <c r="B8" s="1173" t="s">
        <v>65</v>
      </c>
      <c r="C8" s="1174"/>
      <c r="D8" s="1174"/>
      <c r="E8" s="1174"/>
      <c r="F8" s="1174"/>
      <c r="G8" s="1174"/>
      <c r="H8" s="1175"/>
      <c r="I8" s="1173" t="s">
        <v>66</v>
      </c>
      <c r="J8" s="1174"/>
      <c r="K8" s="1174"/>
      <c r="L8" s="1174"/>
      <c r="M8" s="1174"/>
      <c r="N8" s="1174"/>
      <c r="O8" s="1174"/>
      <c r="P8" s="1176" t="s">
        <v>65</v>
      </c>
      <c r="Q8" s="1177"/>
      <c r="R8" s="1177"/>
      <c r="S8" s="1177"/>
      <c r="T8" s="1177"/>
      <c r="U8" s="1177" t="s">
        <v>66</v>
      </c>
      <c r="V8" s="1177"/>
      <c r="W8" s="1177"/>
      <c r="X8" s="1177"/>
      <c r="Y8" s="1177"/>
      <c r="Z8" s="1173"/>
      <c r="AA8" s="1178"/>
      <c r="AB8" s="556"/>
    </row>
    <row r="9" spans="1:28" ht="42" customHeight="1">
      <c r="A9" s="300"/>
      <c r="B9" s="301" t="s">
        <v>232</v>
      </c>
      <c r="C9" s="301" t="s">
        <v>230</v>
      </c>
      <c r="D9" s="558" t="s">
        <v>235</v>
      </c>
      <c r="E9" s="301" t="s">
        <v>238</v>
      </c>
      <c r="F9" s="301" t="s">
        <v>494</v>
      </c>
      <c r="G9" s="301" t="s">
        <v>499</v>
      </c>
      <c r="H9" s="301" t="s">
        <v>240</v>
      </c>
      <c r="I9" s="301" t="s">
        <v>232</v>
      </c>
      <c r="J9" s="857" t="s">
        <v>230</v>
      </c>
      <c r="K9" s="862" t="s">
        <v>235</v>
      </c>
      <c r="L9" s="863" t="s">
        <v>238</v>
      </c>
      <c r="M9" s="301" t="s">
        <v>494</v>
      </c>
      <c r="N9" s="301" t="s">
        <v>499</v>
      </c>
      <c r="O9" s="863" t="s">
        <v>240</v>
      </c>
      <c r="P9" s="858" t="s">
        <v>232</v>
      </c>
      <c r="Q9" s="301" t="s">
        <v>230</v>
      </c>
      <c r="R9" s="558" t="s">
        <v>235</v>
      </c>
      <c r="S9" s="301" t="s">
        <v>238</v>
      </c>
      <c r="T9" s="301" t="s">
        <v>494</v>
      </c>
      <c r="U9" s="301" t="s">
        <v>232</v>
      </c>
      <c r="V9" s="301" t="s">
        <v>230</v>
      </c>
      <c r="W9" s="558" t="s">
        <v>235</v>
      </c>
      <c r="X9" s="301" t="s">
        <v>238</v>
      </c>
      <c r="Y9" s="301" t="s">
        <v>494</v>
      </c>
      <c r="Z9" s="301" t="s">
        <v>499</v>
      </c>
      <c r="AA9" s="301" t="s">
        <v>240</v>
      </c>
      <c r="AB9" s="556"/>
    </row>
    <row r="10" spans="1:28" ht="18">
      <c r="A10" s="43" t="s">
        <v>474</v>
      </c>
      <c r="B10" s="47"/>
      <c r="C10" s="47"/>
      <c r="D10" s="47"/>
      <c r="E10" s="47"/>
      <c r="F10" s="47"/>
      <c r="G10" s="47"/>
      <c r="H10" s="47"/>
      <c r="I10" s="47">
        <v>60000</v>
      </c>
      <c r="J10" s="47">
        <v>60000</v>
      </c>
      <c r="K10" s="47">
        <v>60000</v>
      </c>
      <c r="L10" s="47">
        <v>60000</v>
      </c>
      <c r="M10" s="47">
        <v>60000</v>
      </c>
      <c r="N10" s="47"/>
      <c r="O10" s="812"/>
      <c r="P10" s="379"/>
      <c r="Q10" s="48"/>
      <c r="R10" s="48"/>
      <c r="S10" s="48"/>
      <c r="T10" s="48"/>
      <c r="U10" s="50"/>
      <c r="V10" s="50"/>
      <c r="W10" s="50"/>
      <c r="X10" s="50"/>
      <c r="Y10" s="50"/>
      <c r="Z10" s="378"/>
      <c r="AA10" s="77"/>
      <c r="AB10" s="556"/>
    </row>
    <row r="11" spans="1:28" ht="18">
      <c r="A11" s="43" t="s">
        <v>475</v>
      </c>
      <c r="B11" s="47"/>
      <c r="C11" s="47"/>
      <c r="D11" s="47"/>
      <c r="E11" s="47"/>
      <c r="F11" s="47"/>
      <c r="G11" s="47"/>
      <c r="H11" s="47"/>
      <c r="I11" s="47">
        <v>5000000</v>
      </c>
      <c r="J11" s="47">
        <v>5000000</v>
      </c>
      <c r="K11" s="47">
        <v>5000000</v>
      </c>
      <c r="L11" s="47">
        <v>5000000</v>
      </c>
      <c r="M11" s="47">
        <v>5000000</v>
      </c>
      <c r="N11" s="47"/>
      <c r="O11" s="812"/>
      <c r="P11" s="379"/>
      <c r="Q11" s="48"/>
      <c r="R11" s="48"/>
      <c r="S11" s="48"/>
      <c r="T11" s="48"/>
      <c r="U11" s="50">
        <v>3000000</v>
      </c>
      <c r="V11" s="50">
        <v>3000000</v>
      </c>
      <c r="W11" s="50">
        <v>3000000</v>
      </c>
      <c r="X11" s="50">
        <v>3000000</v>
      </c>
      <c r="Y11" s="50">
        <v>3000000</v>
      </c>
      <c r="Z11" s="378"/>
      <c r="AA11" s="77"/>
      <c r="AB11" s="556"/>
    </row>
    <row r="12" spans="1:28" ht="18" hidden="1">
      <c r="A12" s="43" t="s">
        <v>373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377"/>
      <c r="P12" s="379"/>
      <c r="Q12" s="48"/>
      <c r="R12" s="48"/>
      <c r="S12" s="48"/>
      <c r="T12" s="48"/>
      <c r="U12" s="50"/>
      <c r="V12" s="50"/>
      <c r="W12" s="50"/>
      <c r="X12" s="50"/>
      <c r="Y12" s="50"/>
      <c r="Z12" s="378"/>
      <c r="AA12" s="77"/>
      <c r="AB12" s="556"/>
    </row>
    <row r="13" spans="1:28" ht="18">
      <c r="A13" s="44" t="s">
        <v>216</v>
      </c>
      <c r="B13" s="47"/>
      <c r="C13" s="47"/>
      <c r="D13" s="47"/>
      <c r="E13" s="47"/>
      <c r="F13" s="47"/>
      <c r="G13" s="47"/>
      <c r="H13" s="47"/>
      <c r="I13" s="47">
        <v>165000</v>
      </c>
      <c r="J13" s="47">
        <v>165000</v>
      </c>
      <c r="K13" s="47">
        <v>165000</v>
      </c>
      <c r="L13" s="47">
        <v>165000</v>
      </c>
      <c r="M13" s="47">
        <v>165000</v>
      </c>
      <c r="N13" s="47"/>
      <c r="O13" s="812"/>
      <c r="P13" s="379"/>
      <c r="Q13" s="48"/>
      <c r="R13" s="48"/>
      <c r="S13" s="48"/>
      <c r="T13" s="48"/>
      <c r="U13" s="50"/>
      <c r="V13" s="50"/>
      <c r="W13" s="50"/>
      <c r="X13" s="50"/>
      <c r="Y13" s="50"/>
      <c r="Z13" s="378"/>
      <c r="AA13" s="77"/>
      <c r="AB13" s="556"/>
    </row>
    <row r="14" spans="1:28" ht="18">
      <c r="A14" s="44" t="s">
        <v>217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812"/>
      <c r="P14" s="379"/>
      <c r="Q14" s="48"/>
      <c r="R14" s="48"/>
      <c r="S14" s="48"/>
      <c r="T14" s="48"/>
      <c r="U14" s="50"/>
      <c r="V14" s="50"/>
      <c r="W14" s="50"/>
      <c r="X14" s="50"/>
      <c r="Y14" s="50"/>
      <c r="Z14" s="378"/>
      <c r="AA14" s="77"/>
      <c r="AB14" s="556"/>
    </row>
    <row r="15" spans="1:28" ht="18">
      <c r="A15" s="44" t="s">
        <v>218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812"/>
      <c r="P15" s="379"/>
      <c r="Q15" s="48"/>
      <c r="R15" s="48"/>
      <c r="S15" s="48"/>
      <c r="T15" s="48"/>
      <c r="U15" s="50">
        <v>2000000</v>
      </c>
      <c r="V15" s="50">
        <v>2000000</v>
      </c>
      <c r="W15" s="50">
        <v>2000000</v>
      </c>
      <c r="X15" s="50">
        <v>2000000</v>
      </c>
      <c r="Y15" s="50">
        <v>2000000</v>
      </c>
      <c r="Z15" s="378"/>
      <c r="AA15" s="812">
        <f>Y15/X15</f>
        <v>1</v>
      </c>
      <c r="AB15" s="556"/>
    </row>
    <row r="16" spans="1:28" ht="18" hidden="1">
      <c r="A16" s="44" t="s">
        <v>225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812"/>
      <c r="P16" s="379"/>
      <c r="Q16" s="48"/>
      <c r="R16" s="48"/>
      <c r="S16" s="48"/>
      <c r="T16" s="48"/>
      <c r="U16" s="50"/>
      <c r="V16" s="50"/>
      <c r="W16" s="50"/>
      <c r="X16" s="50"/>
      <c r="Y16" s="50"/>
      <c r="Z16" s="378"/>
      <c r="AA16" s="812" t="e">
        <f>Y16/X16</f>
        <v>#DIV/0!</v>
      </c>
      <c r="AB16" s="556"/>
    </row>
    <row r="17" spans="1:28" ht="17.25" customHeight="1">
      <c r="A17" s="44" t="s">
        <v>219</v>
      </c>
      <c r="B17" s="47"/>
      <c r="C17" s="47"/>
      <c r="D17" s="47"/>
      <c r="E17" s="47"/>
      <c r="F17" s="47"/>
      <c r="G17" s="47"/>
      <c r="H17" s="47"/>
      <c r="I17" s="47">
        <f>4100530+192795</f>
        <v>4293325</v>
      </c>
      <c r="J17" s="47">
        <f>4100530+192795</f>
        <v>4293325</v>
      </c>
      <c r="K17" s="47">
        <f>4100530+192795</f>
        <v>4293325</v>
      </c>
      <c r="L17" s="47">
        <f>4100530+192795</f>
        <v>4293325</v>
      </c>
      <c r="M17" s="47">
        <f>4100530+192795</f>
        <v>4293325</v>
      </c>
      <c r="N17" s="47"/>
      <c r="O17" s="812"/>
      <c r="P17" s="380"/>
      <c r="Q17" s="50"/>
      <c r="R17" s="50"/>
      <c r="S17" s="50"/>
      <c r="T17" s="50"/>
      <c r="U17" s="50"/>
      <c r="V17" s="50"/>
      <c r="W17" s="50"/>
      <c r="X17" s="50"/>
      <c r="Y17" s="50"/>
      <c r="Z17" s="378"/>
      <c r="AA17" s="812" t="e">
        <f>Y17/X17</f>
        <v>#DIV/0!</v>
      </c>
      <c r="AB17" s="556"/>
    </row>
    <row r="18" spans="1:28" ht="17.25" customHeight="1" hidden="1">
      <c r="A18" s="634" t="s">
        <v>374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77"/>
      <c r="P18" s="380"/>
      <c r="Q18" s="50"/>
      <c r="R18" s="50"/>
      <c r="S18" s="50"/>
      <c r="T18" s="50"/>
      <c r="U18" s="50"/>
      <c r="V18" s="50"/>
      <c r="W18" s="50"/>
      <c r="X18" s="50"/>
      <c r="Y18" s="50"/>
      <c r="Z18" s="378"/>
      <c r="AA18" s="77"/>
      <c r="AB18" s="556"/>
    </row>
    <row r="19" spans="1:28" ht="17.25" customHeight="1" hidden="1">
      <c r="A19" s="634" t="s">
        <v>375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812"/>
      <c r="P19" s="380"/>
      <c r="Q19" s="50"/>
      <c r="R19" s="50"/>
      <c r="S19" s="50"/>
      <c r="T19" s="50"/>
      <c r="U19" s="50"/>
      <c r="V19" s="50"/>
      <c r="W19" s="50"/>
      <c r="X19" s="50"/>
      <c r="Y19" s="50"/>
      <c r="Z19" s="378"/>
      <c r="AA19" s="77"/>
      <c r="AB19" s="864"/>
    </row>
    <row r="20" spans="1:28" ht="17.25" customHeight="1" hidden="1">
      <c r="A20" s="634" t="s">
        <v>376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812"/>
      <c r="P20" s="380"/>
      <c r="Q20" s="50"/>
      <c r="R20" s="50"/>
      <c r="S20" s="50"/>
      <c r="T20" s="50"/>
      <c r="U20" s="50"/>
      <c r="V20" s="50"/>
      <c r="W20" s="50"/>
      <c r="X20" s="50"/>
      <c r="Y20" s="50"/>
      <c r="Z20" s="378"/>
      <c r="AA20" s="77"/>
      <c r="AB20" s="556"/>
    </row>
    <row r="21" spans="1:28" ht="17.25" customHeight="1" hidden="1">
      <c r="A21" s="634" t="s">
        <v>377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812"/>
      <c r="P21" s="380"/>
      <c r="Q21" s="50"/>
      <c r="R21" s="50"/>
      <c r="S21" s="50"/>
      <c r="T21" s="50"/>
      <c r="U21" s="50"/>
      <c r="V21" s="50"/>
      <c r="W21" s="50"/>
      <c r="X21" s="50"/>
      <c r="Y21" s="50"/>
      <c r="Z21" s="378"/>
      <c r="AA21" s="77"/>
      <c r="AB21" s="556"/>
    </row>
    <row r="22" spans="1:28" ht="17.25" customHeight="1" hidden="1">
      <c r="A22" s="634" t="s">
        <v>379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812"/>
      <c r="P22" s="380"/>
      <c r="Q22" s="50"/>
      <c r="R22" s="50"/>
      <c r="S22" s="50"/>
      <c r="T22" s="50"/>
      <c r="U22" s="50"/>
      <c r="V22" s="50"/>
      <c r="W22" s="50"/>
      <c r="X22" s="50"/>
      <c r="Y22" s="50"/>
      <c r="Z22" s="378"/>
      <c r="AA22" s="77"/>
      <c r="AB22" s="556"/>
    </row>
    <row r="23" spans="1:28" ht="17.25" customHeight="1" hidden="1">
      <c r="A23" s="634" t="s">
        <v>489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812"/>
      <c r="P23" s="380"/>
      <c r="Q23" s="50"/>
      <c r="R23" s="50"/>
      <c r="S23" s="50"/>
      <c r="T23" s="50"/>
      <c r="U23" s="50"/>
      <c r="V23" s="50"/>
      <c r="W23" s="50"/>
      <c r="X23" s="50"/>
      <c r="Y23" s="50"/>
      <c r="Z23" s="378"/>
      <c r="AA23" s="77"/>
      <c r="AB23" s="556"/>
    </row>
    <row r="24" spans="1:28" ht="17.25" customHeight="1" hidden="1">
      <c r="A24" s="634" t="s">
        <v>388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812"/>
      <c r="P24" s="380"/>
      <c r="Q24" s="50"/>
      <c r="R24" s="50"/>
      <c r="S24" s="50"/>
      <c r="T24" s="50"/>
      <c r="U24" s="50"/>
      <c r="V24" s="50"/>
      <c r="W24" s="50"/>
      <c r="X24" s="50"/>
      <c r="Y24" s="50"/>
      <c r="Z24" s="378"/>
      <c r="AA24" s="77"/>
      <c r="AB24" s="556"/>
    </row>
    <row r="25" spans="1:28" ht="17.25" customHeight="1" hidden="1">
      <c r="A25" s="634" t="s">
        <v>380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812"/>
      <c r="P25" s="380"/>
      <c r="Q25" s="50"/>
      <c r="R25" s="50"/>
      <c r="S25" s="50"/>
      <c r="T25" s="50"/>
      <c r="U25" s="50"/>
      <c r="V25" s="50"/>
      <c r="W25" s="50"/>
      <c r="X25" s="50"/>
      <c r="Y25" s="50"/>
      <c r="Z25" s="378"/>
      <c r="AA25" s="77"/>
      <c r="AB25" s="556"/>
    </row>
    <row r="26" spans="1:28" ht="17.25" customHeight="1" hidden="1">
      <c r="A26" s="634" t="s">
        <v>381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812"/>
      <c r="P26" s="380"/>
      <c r="Q26" s="50"/>
      <c r="R26" s="50"/>
      <c r="S26" s="50"/>
      <c r="T26" s="50"/>
      <c r="U26" s="50"/>
      <c r="V26" s="50"/>
      <c r="W26" s="50"/>
      <c r="X26" s="50"/>
      <c r="Y26" s="50"/>
      <c r="Z26" s="378"/>
      <c r="AA26" s="77"/>
      <c r="AB26" s="556"/>
    </row>
    <row r="27" spans="1:28" ht="17.25" customHeight="1" hidden="1">
      <c r="A27" s="634" t="s">
        <v>484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812"/>
      <c r="P27" s="380"/>
      <c r="Q27" s="50"/>
      <c r="R27" s="50"/>
      <c r="S27" s="50"/>
      <c r="T27" s="50"/>
      <c r="U27" s="50"/>
      <c r="V27" s="50"/>
      <c r="W27" s="50"/>
      <c r="X27" s="50"/>
      <c r="Y27" s="50"/>
      <c r="Z27" s="378"/>
      <c r="AA27" s="77"/>
      <c r="AB27" s="556"/>
    </row>
    <row r="28" spans="1:28" ht="17.25" customHeight="1" hidden="1">
      <c r="A28" s="634" t="s">
        <v>382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812"/>
      <c r="P28" s="380"/>
      <c r="Q28" s="50"/>
      <c r="R28" s="50"/>
      <c r="S28" s="50"/>
      <c r="T28" s="50"/>
      <c r="U28" s="50"/>
      <c r="V28" s="50"/>
      <c r="W28" s="50"/>
      <c r="X28" s="50"/>
      <c r="Y28" s="50"/>
      <c r="Z28" s="378"/>
      <c r="AA28" s="77"/>
      <c r="AB28" s="556"/>
    </row>
    <row r="29" spans="1:28" ht="17.25" customHeight="1" hidden="1">
      <c r="A29" s="634" t="s">
        <v>383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812"/>
      <c r="P29" s="380"/>
      <c r="Q29" s="50"/>
      <c r="R29" s="50"/>
      <c r="S29" s="50"/>
      <c r="T29" s="50"/>
      <c r="U29" s="50"/>
      <c r="V29" s="50"/>
      <c r="W29" s="50"/>
      <c r="X29" s="50"/>
      <c r="Y29" s="50"/>
      <c r="Z29" s="378"/>
      <c r="AA29" s="77"/>
      <c r="AB29" s="556"/>
    </row>
    <row r="30" spans="1:28" ht="17.25" customHeight="1" hidden="1">
      <c r="A30" s="634" t="s">
        <v>384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812"/>
      <c r="P30" s="380"/>
      <c r="Q30" s="50"/>
      <c r="R30" s="50"/>
      <c r="S30" s="50"/>
      <c r="T30" s="50"/>
      <c r="U30" s="50"/>
      <c r="V30" s="50"/>
      <c r="W30" s="50"/>
      <c r="X30" s="50"/>
      <c r="Y30" s="50"/>
      <c r="Z30" s="378"/>
      <c r="AA30" s="77"/>
      <c r="AB30" s="556"/>
    </row>
    <row r="31" spans="1:28" ht="17.25" customHeight="1" hidden="1">
      <c r="A31" s="634" t="s">
        <v>385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812"/>
      <c r="P31" s="380"/>
      <c r="Q31" s="50"/>
      <c r="R31" s="50"/>
      <c r="S31" s="50"/>
      <c r="T31" s="50"/>
      <c r="U31" s="50"/>
      <c r="V31" s="50"/>
      <c r="W31" s="50"/>
      <c r="X31" s="50"/>
      <c r="Y31" s="50"/>
      <c r="Z31" s="378"/>
      <c r="AA31" s="77"/>
      <c r="AB31" s="556"/>
    </row>
    <row r="32" spans="1:28" ht="17.25" customHeight="1" hidden="1">
      <c r="A32" s="634" t="s">
        <v>386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812"/>
      <c r="P32" s="380"/>
      <c r="Q32" s="50"/>
      <c r="R32" s="50"/>
      <c r="S32" s="50"/>
      <c r="T32" s="50"/>
      <c r="U32" s="50"/>
      <c r="V32" s="50"/>
      <c r="W32" s="50"/>
      <c r="X32" s="50"/>
      <c r="Y32" s="50"/>
      <c r="Z32" s="378"/>
      <c r="AA32" s="77"/>
      <c r="AB32" s="556"/>
    </row>
    <row r="33" spans="1:28" ht="17.25" customHeight="1" hidden="1">
      <c r="A33" s="634" t="s">
        <v>387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812"/>
      <c r="P33" s="380"/>
      <c r="Q33" s="50"/>
      <c r="R33" s="50"/>
      <c r="S33" s="50"/>
      <c r="T33" s="50"/>
      <c r="U33" s="50"/>
      <c r="V33" s="50"/>
      <c r="W33" s="50"/>
      <c r="X33" s="50"/>
      <c r="Y33" s="50"/>
      <c r="Z33" s="378"/>
      <c r="AA33" s="77"/>
      <c r="AB33" s="556"/>
    </row>
    <row r="34" spans="1:28" ht="17.25" customHeight="1" hidden="1">
      <c r="A34" s="634" t="s">
        <v>389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812"/>
      <c r="P34" s="380"/>
      <c r="Q34" s="50"/>
      <c r="R34" s="50"/>
      <c r="S34" s="50"/>
      <c r="T34" s="50"/>
      <c r="U34" s="50"/>
      <c r="V34" s="50"/>
      <c r="W34" s="50"/>
      <c r="X34" s="50"/>
      <c r="Y34" s="50"/>
      <c r="Z34" s="378"/>
      <c r="AA34" s="77"/>
      <c r="AB34" s="556"/>
    </row>
    <row r="35" spans="1:28" ht="17.25" customHeight="1" hidden="1">
      <c r="A35" s="634" t="s">
        <v>390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812"/>
      <c r="P35" s="380"/>
      <c r="Q35" s="50"/>
      <c r="R35" s="50"/>
      <c r="S35" s="50"/>
      <c r="T35" s="50"/>
      <c r="U35" s="50"/>
      <c r="V35" s="50"/>
      <c r="W35" s="50"/>
      <c r="X35" s="50"/>
      <c r="Y35" s="50"/>
      <c r="Z35" s="378"/>
      <c r="AA35" s="77"/>
      <c r="AB35" s="556"/>
    </row>
    <row r="36" spans="1:28" ht="17.25" customHeight="1" hidden="1">
      <c r="A36" s="634" t="s">
        <v>391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812"/>
      <c r="P36" s="380"/>
      <c r="Q36" s="50"/>
      <c r="R36" s="50"/>
      <c r="S36" s="50"/>
      <c r="T36" s="50"/>
      <c r="U36" s="50"/>
      <c r="V36" s="50"/>
      <c r="W36" s="50"/>
      <c r="X36" s="50"/>
      <c r="Y36" s="50"/>
      <c r="Z36" s="378"/>
      <c r="AA36" s="77"/>
      <c r="AB36" s="556"/>
    </row>
    <row r="37" spans="1:28" ht="17.25" customHeight="1" hidden="1">
      <c r="A37" s="634" t="s">
        <v>501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812"/>
      <c r="P37" s="380"/>
      <c r="Q37" s="50"/>
      <c r="R37" s="50"/>
      <c r="S37" s="50"/>
      <c r="T37" s="50"/>
      <c r="U37" s="50"/>
      <c r="V37" s="50"/>
      <c r="W37" s="50"/>
      <c r="X37" s="50"/>
      <c r="Y37" s="50"/>
      <c r="Z37" s="378"/>
      <c r="AA37" s="77"/>
      <c r="AB37" s="556"/>
    </row>
    <row r="38" spans="1:28" ht="17.25" customHeight="1" hidden="1">
      <c r="A38" s="634" t="s">
        <v>503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812"/>
      <c r="P38" s="380"/>
      <c r="Q38" s="50"/>
      <c r="R38" s="50"/>
      <c r="S38" s="50"/>
      <c r="T38" s="50"/>
      <c r="U38" s="50"/>
      <c r="V38" s="50"/>
      <c r="W38" s="50"/>
      <c r="X38" s="50"/>
      <c r="Y38" s="50"/>
      <c r="Z38" s="378"/>
      <c r="AA38" s="77"/>
      <c r="AB38" s="556"/>
    </row>
    <row r="39" spans="1:28" ht="17.25" customHeight="1" hidden="1">
      <c r="A39" s="634" t="s">
        <v>488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812"/>
      <c r="P39" s="380"/>
      <c r="Q39" s="50"/>
      <c r="R39" s="50"/>
      <c r="S39" s="50"/>
      <c r="T39" s="50"/>
      <c r="U39" s="50"/>
      <c r="V39" s="50"/>
      <c r="W39" s="50"/>
      <c r="X39" s="50"/>
      <c r="Y39" s="50"/>
      <c r="Z39" s="378"/>
      <c r="AA39" s="77"/>
      <c r="AB39" s="556"/>
    </row>
    <row r="40" spans="1:28" ht="17.25" customHeight="1" hidden="1">
      <c r="A40" s="44" t="s">
        <v>485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812"/>
      <c r="P40" s="380"/>
      <c r="Q40" s="50"/>
      <c r="R40" s="50"/>
      <c r="S40" s="50"/>
      <c r="T40" s="50"/>
      <c r="U40" s="50"/>
      <c r="V40" s="50"/>
      <c r="W40" s="50"/>
      <c r="X40" s="50"/>
      <c r="Y40" s="50"/>
      <c r="Z40" s="378"/>
      <c r="AA40" s="77"/>
      <c r="AB40" s="556"/>
    </row>
    <row r="41" spans="1:28" ht="17.25" customHeight="1" hidden="1">
      <c r="A41" s="634" t="s">
        <v>374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812"/>
      <c r="P41" s="380"/>
      <c r="Q41" s="50"/>
      <c r="R41" s="50"/>
      <c r="S41" s="50"/>
      <c r="T41" s="50"/>
      <c r="U41" s="50"/>
      <c r="V41" s="50"/>
      <c r="W41" s="50"/>
      <c r="X41" s="50"/>
      <c r="Y41" s="50"/>
      <c r="Z41" s="378"/>
      <c r="AA41" s="77"/>
      <c r="AB41" s="864"/>
    </row>
    <row r="42" spans="1:28" ht="17.25" customHeight="1" hidden="1">
      <c r="A42" s="634" t="s">
        <v>383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812"/>
      <c r="P42" s="380"/>
      <c r="Q42" s="50"/>
      <c r="R42" s="50"/>
      <c r="S42" s="50"/>
      <c r="T42" s="50"/>
      <c r="U42" s="50"/>
      <c r="V42" s="50"/>
      <c r="W42" s="50"/>
      <c r="X42" s="50"/>
      <c r="Y42" s="50"/>
      <c r="Z42" s="378"/>
      <c r="AA42" s="77"/>
      <c r="AB42" s="556"/>
    </row>
    <row r="43" spans="1:28" ht="17.25" customHeight="1" hidden="1">
      <c r="A43" s="634" t="s">
        <v>385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812"/>
      <c r="P43" s="380"/>
      <c r="Q43" s="50"/>
      <c r="R43" s="50"/>
      <c r="S43" s="50"/>
      <c r="T43" s="50"/>
      <c r="U43" s="50"/>
      <c r="V43" s="50"/>
      <c r="W43" s="50"/>
      <c r="X43" s="50"/>
      <c r="Y43" s="50"/>
      <c r="Z43" s="378"/>
      <c r="AA43" s="77"/>
      <c r="AB43" s="556"/>
    </row>
    <row r="44" spans="1:28" ht="17.25" customHeight="1" hidden="1">
      <c r="A44" s="634" t="s">
        <v>486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812"/>
      <c r="P44" s="380"/>
      <c r="Q44" s="50"/>
      <c r="R44" s="50"/>
      <c r="S44" s="50"/>
      <c r="T44" s="50"/>
      <c r="U44" s="50"/>
      <c r="V44" s="50"/>
      <c r="W44" s="50"/>
      <c r="X44" s="50"/>
      <c r="Y44" s="50"/>
      <c r="Z44" s="378"/>
      <c r="AA44" s="77"/>
      <c r="AB44" s="556"/>
    </row>
    <row r="45" spans="1:28" ht="17.25" customHeight="1" hidden="1">
      <c r="A45" s="634" t="s">
        <v>487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12"/>
      <c r="P45" s="380"/>
      <c r="Q45" s="50"/>
      <c r="R45" s="50"/>
      <c r="S45" s="50"/>
      <c r="T45" s="50"/>
      <c r="U45" s="50"/>
      <c r="V45" s="50"/>
      <c r="W45" s="50"/>
      <c r="X45" s="50"/>
      <c r="Y45" s="50"/>
      <c r="Z45" s="378"/>
      <c r="AA45" s="77"/>
      <c r="AB45" s="556"/>
    </row>
    <row r="46" spans="1:28" ht="17.25" customHeight="1">
      <c r="A46" s="44" t="s">
        <v>482</v>
      </c>
      <c r="B46" s="47"/>
      <c r="C46" s="47"/>
      <c r="D46" s="47"/>
      <c r="E46" s="47"/>
      <c r="F46" s="47"/>
      <c r="G46" s="47"/>
      <c r="H46" s="47"/>
      <c r="I46" s="47">
        <v>200000</v>
      </c>
      <c r="J46" s="47">
        <v>200000</v>
      </c>
      <c r="K46" s="47">
        <v>200000</v>
      </c>
      <c r="L46" s="47">
        <v>200000</v>
      </c>
      <c r="M46" s="47">
        <v>200000</v>
      </c>
      <c r="N46" s="47"/>
      <c r="O46" s="812"/>
      <c r="P46" s="380"/>
      <c r="Q46" s="50"/>
      <c r="R46" s="50"/>
      <c r="S46" s="50"/>
      <c r="T46" s="50"/>
      <c r="U46" s="50"/>
      <c r="V46" s="50"/>
      <c r="W46" s="50"/>
      <c r="X46" s="50"/>
      <c r="Y46" s="50"/>
      <c r="Z46" s="378"/>
      <c r="AA46" s="77"/>
      <c r="AB46" s="556"/>
    </row>
    <row r="47" spans="1:28" ht="17.25" customHeight="1">
      <c r="A47" s="44" t="s">
        <v>376</v>
      </c>
      <c r="B47" s="47"/>
      <c r="C47" s="47"/>
      <c r="D47" s="47"/>
      <c r="E47" s="47"/>
      <c r="F47" s="47"/>
      <c r="G47" s="47"/>
      <c r="H47" s="47"/>
      <c r="I47" s="47">
        <v>300000</v>
      </c>
      <c r="J47" s="47">
        <v>300000</v>
      </c>
      <c r="K47" s="47">
        <v>300000</v>
      </c>
      <c r="L47" s="47">
        <v>300000</v>
      </c>
      <c r="M47" s="47">
        <v>300000</v>
      </c>
      <c r="N47" s="47"/>
      <c r="O47" s="812"/>
      <c r="P47" s="380"/>
      <c r="Q47" s="50"/>
      <c r="R47" s="50"/>
      <c r="S47" s="50"/>
      <c r="T47" s="50"/>
      <c r="U47" s="50"/>
      <c r="V47" s="50"/>
      <c r="W47" s="50"/>
      <c r="X47" s="50"/>
      <c r="Y47" s="50"/>
      <c r="Z47" s="378"/>
      <c r="AA47" s="77"/>
      <c r="AB47" s="556"/>
    </row>
    <row r="48" spans="1:28" ht="17.25" customHeight="1">
      <c r="A48" s="44" t="s">
        <v>487</v>
      </c>
      <c r="B48" s="47"/>
      <c r="C48" s="47"/>
      <c r="D48" s="47"/>
      <c r="E48" s="47"/>
      <c r="F48" s="47"/>
      <c r="G48" s="47"/>
      <c r="H48" s="47"/>
      <c r="I48" s="47"/>
      <c r="J48" s="47"/>
      <c r="K48" s="47">
        <v>10000</v>
      </c>
      <c r="L48" s="47">
        <v>10000</v>
      </c>
      <c r="M48" s="47">
        <v>10000</v>
      </c>
      <c r="N48" s="47"/>
      <c r="O48" s="812"/>
      <c r="P48" s="380"/>
      <c r="Q48" s="50"/>
      <c r="R48" s="50"/>
      <c r="S48" s="50"/>
      <c r="T48" s="50"/>
      <c r="U48" s="50"/>
      <c r="V48" s="50"/>
      <c r="W48" s="50"/>
      <c r="X48" s="50"/>
      <c r="Y48" s="50"/>
      <c r="Z48" s="378"/>
      <c r="AA48" s="77"/>
      <c r="AB48" s="556"/>
    </row>
    <row r="49" spans="1:28" ht="17.25" customHeight="1">
      <c r="A49" s="44" t="s">
        <v>582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>
        <v>30000</v>
      </c>
      <c r="M49" s="47">
        <v>30000</v>
      </c>
      <c r="N49" s="47"/>
      <c r="O49" s="812"/>
      <c r="P49" s="380"/>
      <c r="Q49" s="50"/>
      <c r="R49" s="50"/>
      <c r="S49" s="50"/>
      <c r="T49" s="50"/>
      <c r="U49" s="50"/>
      <c r="V49" s="50"/>
      <c r="W49" s="50"/>
      <c r="X49" s="50"/>
      <c r="Y49" s="50"/>
      <c r="Z49" s="378"/>
      <c r="AA49" s="77"/>
      <c r="AB49" s="556"/>
    </row>
    <row r="50" spans="1:28" ht="17.25" customHeight="1">
      <c r="A50" s="44" t="s">
        <v>583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>
        <v>200000</v>
      </c>
      <c r="M50" s="47">
        <v>200000</v>
      </c>
      <c r="N50" s="47"/>
      <c r="O50" s="812"/>
      <c r="P50" s="380"/>
      <c r="Q50" s="50"/>
      <c r="R50" s="50"/>
      <c r="S50" s="50"/>
      <c r="T50" s="50"/>
      <c r="U50" s="50"/>
      <c r="V50" s="50"/>
      <c r="W50" s="50"/>
      <c r="X50" s="50"/>
      <c r="Y50" s="50"/>
      <c r="Z50" s="378"/>
      <c r="AA50" s="77"/>
      <c r="AB50" s="556"/>
    </row>
    <row r="51" spans="1:28" ht="17.25" customHeight="1" hidden="1">
      <c r="A51" s="44" t="s">
        <v>502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7"/>
      <c r="P51" s="380"/>
      <c r="Q51" s="50"/>
      <c r="R51" s="50"/>
      <c r="S51" s="50"/>
      <c r="T51" s="50"/>
      <c r="U51" s="50"/>
      <c r="V51" s="50"/>
      <c r="W51" s="50"/>
      <c r="X51" s="50"/>
      <c r="Y51" s="50"/>
      <c r="Z51" s="378"/>
      <c r="AA51" s="77"/>
      <c r="AB51" s="556"/>
    </row>
    <row r="52" spans="1:28" ht="17.25" customHeight="1" hidden="1">
      <c r="A52" s="4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77"/>
      <c r="P52" s="380"/>
      <c r="Q52" s="50"/>
      <c r="R52" s="50"/>
      <c r="S52" s="50"/>
      <c r="T52" s="50"/>
      <c r="U52" s="50"/>
      <c r="V52" s="50"/>
      <c r="W52" s="50"/>
      <c r="X52" s="50"/>
      <c r="Y52" s="50"/>
      <c r="Z52" s="378"/>
      <c r="AA52" s="77"/>
      <c r="AB52" s="556"/>
    </row>
    <row r="53" spans="1:28" ht="17.25" customHeight="1" hidden="1">
      <c r="A53" s="44" t="s">
        <v>392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812"/>
      <c r="P53" s="380"/>
      <c r="Q53" s="50"/>
      <c r="R53" s="50"/>
      <c r="S53" s="50"/>
      <c r="T53" s="50"/>
      <c r="U53" s="50"/>
      <c r="V53" s="50"/>
      <c r="W53" s="50"/>
      <c r="X53" s="50"/>
      <c r="Y53" s="50"/>
      <c r="Z53" s="378"/>
      <c r="AA53" s="77"/>
      <c r="AB53" s="556"/>
    </row>
    <row r="54" spans="1:28" ht="17.25" customHeight="1" hidden="1">
      <c r="A54" s="44" t="s">
        <v>378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812"/>
      <c r="P54" s="380"/>
      <c r="Q54" s="50"/>
      <c r="R54" s="50"/>
      <c r="S54" s="50"/>
      <c r="T54" s="50"/>
      <c r="U54" s="50"/>
      <c r="V54" s="50"/>
      <c r="W54" s="50"/>
      <c r="X54" s="50"/>
      <c r="Y54" s="50"/>
      <c r="Z54" s="378"/>
      <c r="AA54" s="77"/>
      <c r="AB54" s="556"/>
    </row>
    <row r="55" spans="1:28" s="19" customFormat="1" ht="18" hidden="1">
      <c r="A55" s="44" t="s">
        <v>220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812"/>
      <c r="P55" s="381"/>
      <c r="Q55" s="47"/>
      <c r="R55" s="47"/>
      <c r="S55" s="47"/>
      <c r="T55" s="47"/>
      <c r="U55" s="47"/>
      <c r="V55" s="47"/>
      <c r="W55" s="47"/>
      <c r="X55" s="47"/>
      <c r="Y55" s="47"/>
      <c r="Z55" s="377"/>
      <c r="AA55" s="77"/>
      <c r="AB55" s="557"/>
    </row>
    <row r="56" spans="1:28" ht="18" hidden="1">
      <c r="A56" s="4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812"/>
      <c r="P56" s="381"/>
      <c r="Q56" s="47"/>
      <c r="R56" s="47"/>
      <c r="S56" s="47"/>
      <c r="T56" s="47"/>
      <c r="U56" s="50"/>
      <c r="V56" s="50"/>
      <c r="W56" s="50"/>
      <c r="X56" s="50"/>
      <c r="Y56" s="50"/>
      <c r="Z56" s="378"/>
      <c r="AA56" s="49"/>
      <c r="AB56" s="556"/>
    </row>
    <row r="57" spans="1:28" ht="18" hidden="1">
      <c r="A57" s="4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812"/>
      <c r="P57" s="381"/>
      <c r="Q57" s="47"/>
      <c r="R57" s="47"/>
      <c r="S57" s="47"/>
      <c r="T57" s="47"/>
      <c r="U57" s="50"/>
      <c r="V57" s="50"/>
      <c r="W57" s="50"/>
      <c r="X57" s="50"/>
      <c r="Y57" s="50"/>
      <c r="Z57" s="378"/>
      <c r="AA57" s="49"/>
      <c r="AB57" s="556"/>
    </row>
    <row r="58" spans="1:28" ht="23.25" customHeight="1" thickBot="1">
      <c r="A58" s="45" t="s">
        <v>1</v>
      </c>
      <c r="B58" s="51">
        <f aca="true" t="shared" si="0" ref="B58:K58">SUM(B10:B57)</f>
        <v>0</v>
      </c>
      <c r="C58" s="51">
        <f t="shared" si="0"/>
        <v>0</v>
      </c>
      <c r="D58" s="51">
        <f t="shared" si="0"/>
        <v>0</v>
      </c>
      <c r="E58" s="51">
        <f t="shared" si="0"/>
        <v>0</v>
      </c>
      <c r="F58" s="51">
        <f t="shared" si="0"/>
        <v>0</v>
      </c>
      <c r="G58" s="51">
        <f t="shared" si="0"/>
        <v>0</v>
      </c>
      <c r="H58" s="51">
        <f t="shared" si="0"/>
        <v>0</v>
      </c>
      <c r="I58" s="51">
        <f t="shared" si="0"/>
        <v>10018325</v>
      </c>
      <c r="J58" s="51">
        <f t="shared" si="0"/>
        <v>10018325</v>
      </c>
      <c r="K58" s="51">
        <f t="shared" si="0"/>
        <v>10028325</v>
      </c>
      <c r="L58" s="51">
        <f>SUM(L10:L17,L40,L46:L50)</f>
        <v>10258325</v>
      </c>
      <c r="M58" s="51">
        <f>SUM(M10:M17,M40,M46:M50)</f>
        <v>10258325</v>
      </c>
      <c r="N58" s="51">
        <f>SUM(N10:N17,N40,N46:N51)</f>
        <v>0</v>
      </c>
      <c r="O58" s="817">
        <f>M58/L58</f>
        <v>1</v>
      </c>
      <c r="P58" s="814">
        <f aca="true" t="shared" si="1" ref="P58:AA58">SUM(P10:P57)</f>
        <v>0</v>
      </c>
      <c r="Q58" s="51">
        <f t="shared" si="1"/>
        <v>0</v>
      </c>
      <c r="R58" s="51">
        <f t="shared" si="1"/>
        <v>0</v>
      </c>
      <c r="S58" s="51">
        <f t="shared" si="1"/>
        <v>0</v>
      </c>
      <c r="T58" s="51">
        <f t="shared" si="1"/>
        <v>0</v>
      </c>
      <c r="U58" s="51">
        <f t="shared" si="1"/>
        <v>5000000</v>
      </c>
      <c r="V58" s="51">
        <f t="shared" si="1"/>
        <v>5000000</v>
      </c>
      <c r="W58" s="51">
        <f t="shared" si="1"/>
        <v>5000000</v>
      </c>
      <c r="X58" s="51">
        <f t="shared" si="1"/>
        <v>5000000</v>
      </c>
      <c r="Y58" s="51">
        <f>SUM(Y10:Y57)</f>
        <v>5000000</v>
      </c>
      <c r="Z58" s="51">
        <f t="shared" si="1"/>
        <v>0</v>
      </c>
      <c r="AA58" s="51" t="e">
        <f t="shared" si="1"/>
        <v>#DIV/0!</v>
      </c>
      <c r="AB58" s="813"/>
    </row>
    <row r="59" spans="1:27" ht="15">
      <c r="A59" s="42"/>
      <c r="B59" s="14"/>
      <c r="C59" s="14"/>
      <c r="D59" s="14"/>
      <c r="E59" s="14"/>
      <c r="F59" s="14"/>
      <c r="G59" s="14"/>
      <c r="H59" s="14"/>
      <c r="I59" s="291"/>
      <c r="J59" s="291"/>
      <c r="K59" s="291"/>
      <c r="L59" s="291"/>
      <c r="M59" s="291"/>
      <c r="N59" s="291"/>
      <c r="O59" s="291"/>
      <c r="P59" s="291"/>
      <c r="Q59" s="14"/>
      <c r="R59" s="14"/>
      <c r="S59" s="14"/>
      <c r="T59" s="14"/>
      <c r="U59" s="291"/>
      <c r="Y59" s="375"/>
      <c r="Z59" s="375"/>
      <c r="AA59" s="375"/>
    </row>
    <row r="60" spans="1:21" ht="14.25">
      <c r="A60" s="1165" t="s">
        <v>223</v>
      </c>
      <c r="B60" s="1165"/>
      <c r="C60" s="1165"/>
      <c r="D60" s="1165"/>
      <c r="E60" s="1165"/>
      <c r="F60" s="1165"/>
      <c r="G60" s="1165"/>
      <c r="H60" s="1165"/>
      <c r="I60" s="1165"/>
      <c r="J60" s="1165"/>
      <c r="K60" s="1165"/>
      <c r="L60" s="1165"/>
      <c r="M60" s="1165"/>
      <c r="N60" s="1165"/>
      <c r="O60" s="1165"/>
      <c r="P60" s="1165"/>
      <c r="Q60" s="1165"/>
      <c r="R60" s="1165"/>
      <c r="S60" s="1165"/>
      <c r="T60" s="1165"/>
      <c r="U60" s="1165"/>
    </row>
    <row r="61" ht="13.5" thickBot="1">
      <c r="U61" s="12"/>
    </row>
    <row r="62" spans="1:28" ht="29.25" customHeight="1">
      <c r="A62" s="1166" t="s">
        <v>222</v>
      </c>
      <c r="B62" s="1168" t="s">
        <v>24</v>
      </c>
      <c r="C62" s="1169"/>
      <c r="D62" s="1169"/>
      <c r="E62" s="1169"/>
      <c r="F62" s="1169"/>
      <c r="G62" s="1169"/>
      <c r="H62" s="1169"/>
      <c r="I62" s="1169"/>
      <c r="J62" s="1169"/>
      <c r="K62" s="1169"/>
      <c r="L62" s="1169"/>
      <c r="M62" s="1169"/>
      <c r="N62" s="1169"/>
      <c r="O62" s="1169"/>
      <c r="P62" s="1170" t="s">
        <v>25</v>
      </c>
      <c r="Q62" s="1171"/>
      <c r="R62" s="1171"/>
      <c r="S62" s="1171"/>
      <c r="T62" s="1171"/>
      <c r="U62" s="1171"/>
      <c r="V62" s="1171"/>
      <c r="W62" s="1171"/>
      <c r="X62" s="1171"/>
      <c r="Y62" s="1171"/>
      <c r="Z62" s="1168"/>
      <c r="AA62" s="1172"/>
      <c r="AB62" s="556"/>
    </row>
    <row r="63" spans="1:28" ht="29.25" customHeight="1">
      <c r="A63" s="1167"/>
      <c r="B63" s="1173" t="s">
        <v>65</v>
      </c>
      <c r="C63" s="1174"/>
      <c r="D63" s="1174"/>
      <c r="E63" s="1174"/>
      <c r="F63" s="1174"/>
      <c r="G63" s="1174"/>
      <c r="H63" s="1175"/>
      <c r="I63" s="1173" t="s">
        <v>66</v>
      </c>
      <c r="J63" s="1174"/>
      <c r="K63" s="1174"/>
      <c r="L63" s="1174"/>
      <c r="M63" s="1174"/>
      <c r="N63" s="1174"/>
      <c r="O63" s="1174"/>
      <c r="P63" s="1176" t="s">
        <v>65</v>
      </c>
      <c r="Q63" s="1177"/>
      <c r="R63" s="1177"/>
      <c r="S63" s="1177"/>
      <c r="T63" s="1177"/>
      <c r="U63" s="1177" t="s">
        <v>66</v>
      </c>
      <c r="V63" s="1177"/>
      <c r="W63" s="1177"/>
      <c r="X63" s="1177"/>
      <c r="Y63" s="1177"/>
      <c r="Z63" s="1173"/>
      <c r="AA63" s="1178"/>
      <c r="AB63" s="556"/>
    </row>
    <row r="64" spans="1:28" ht="29.25" customHeight="1">
      <c r="A64" s="300"/>
      <c r="B64" s="301" t="s">
        <v>232</v>
      </c>
      <c r="C64" s="301" t="s">
        <v>230</v>
      </c>
      <c r="D64" s="558" t="s">
        <v>235</v>
      </c>
      <c r="E64" s="301" t="s">
        <v>238</v>
      </c>
      <c r="F64" s="301" t="s">
        <v>494</v>
      </c>
      <c r="G64" s="301" t="s">
        <v>499</v>
      </c>
      <c r="H64" s="301" t="s">
        <v>240</v>
      </c>
      <c r="I64" s="301" t="s">
        <v>232</v>
      </c>
      <c r="J64" s="857" t="s">
        <v>230</v>
      </c>
      <c r="K64" s="862" t="s">
        <v>235</v>
      </c>
      <c r="L64" s="863" t="s">
        <v>238</v>
      </c>
      <c r="M64" s="301" t="s">
        <v>494</v>
      </c>
      <c r="N64" s="913" t="s">
        <v>499</v>
      </c>
      <c r="O64" s="863" t="s">
        <v>240</v>
      </c>
      <c r="P64" s="858" t="s">
        <v>232</v>
      </c>
      <c r="Q64" s="301" t="s">
        <v>230</v>
      </c>
      <c r="R64" s="558" t="s">
        <v>235</v>
      </c>
      <c r="S64" s="301" t="s">
        <v>238</v>
      </c>
      <c r="T64" s="301" t="s">
        <v>433</v>
      </c>
      <c r="U64" s="301" t="s">
        <v>232</v>
      </c>
      <c r="V64" s="301" t="s">
        <v>230</v>
      </c>
      <c r="W64" s="558" t="s">
        <v>235</v>
      </c>
      <c r="X64" s="301" t="s">
        <v>238</v>
      </c>
      <c r="Y64" s="301" t="s">
        <v>494</v>
      </c>
      <c r="Z64" s="913" t="s">
        <v>499</v>
      </c>
      <c r="AA64" s="301" t="s">
        <v>240</v>
      </c>
      <c r="AB64" s="556"/>
    </row>
    <row r="65" spans="1:28" ht="30.75">
      <c r="A65" s="43" t="s">
        <v>247</v>
      </c>
      <c r="B65" s="50">
        <v>353080</v>
      </c>
      <c r="C65" s="50">
        <v>353080</v>
      </c>
      <c r="D65" s="50">
        <v>353080</v>
      </c>
      <c r="E65" s="50">
        <v>353080</v>
      </c>
      <c r="F65" s="50">
        <v>353080</v>
      </c>
      <c r="G65" s="50"/>
      <c r="H65" s="812"/>
      <c r="I65" s="50"/>
      <c r="J65" s="50"/>
      <c r="K65" s="50"/>
      <c r="L65" s="50"/>
      <c r="M65" s="378"/>
      <c r="N65" s="378"/>
      <c r="O65" s="378"/>
      <c r="P65" s="381"/>
      <c r="Q65" s="47"/>
      <c r="R65" s="47"/>
      <c r="S65" s="47"/>
      <c r="T65" s="47"/>
      <c r="U65" s="50"/>
      <c r="V65" s="50"/>
      <c r="W65" s="50"/>
      <c r="X65" s="50"/>
      <c r="Y65" s="47"/>
      <c r="Z65" s="377"/>
      <c r="AA65" s="77"/>
      <c r="AB65" s="556"/>
    </row>
    <row r="66" spans="1:28" ht="18">
      <c r="A66" s="43" t="s">
        <v>500</v>
      </c>
      <c r="B66" s="78"/>
      <c r="C66" s="78"/>
      <c r="D66" s="78"/>
      <c r="E66" s="78"/>
      <c r="F66" s="78"/>
      <c r="G66" s="78"/>
      <c r="H66" s="812"/>
      <c r="I66" s="78"/>
      <c r="J66" s="78"/>
      <c r="K66" s="78"/>
      <c r="L66" s="78"/>
      <c r="M66" s="382"/>
      <c r="N66" s="382"/>
      <c r="O66" s="382"/>
      <c r="P66" s="381"/>
      <c r="Q66" s="47"/>
      <c r="R66" s="47"/>
      <c r="S66" s="47"/>
      <c r="T66" s="47"/>
      <c r="U66" s="50"/>
      <c r="V66" s="50"/>
      <c r="W66" s="50"/>
      <c r="X66" s="50"/>
      <c r="Y66" s="47"/>
      <c r="Z66" s="377"/>
      <c r="AA66" s="77"/>
      <c r="AB66" s="556"/>
    </row>
    <row r="67" spans="1:28" ht="18">
      <c r="A67" s="79" t="s">
        <v>224</v>
      </c>
      <c r="B67" s="78"/>
      <c r="C67" s="78"/>
      <c r="D67" s="78"/>
      <c r="E67" s="78"/>
      <c r="F67" s="78"/>
      <c r="G67" s="78"/>
      <c r="H67" s="78"/>
      <c r="I67" s="78">
        <v>134050</v>
      </c>
      <c r="J67" s="78">
        <v>134050</v>
      </c>
      <c r="K67" s="78">
        <v>134050</v>
      </c>
      <c r="L67" s="78">
        <v>134050</v>
      </c>
      <c r="M67" s="78">
        <v>134050</v>
      </c>
      <c r="N67" s="78"/>
      <c r="O67" s="812"/>
      <c r="P67" s="381"/>
      <c r="Q67" s="47"/>
      <c r="R67" s="47"/>
      <c r="S67" s="47"/>
      <c r="T67" s="47"/>
      <c r="U67" s="50"/>
      <c r="V67" s="50"/>
      <c r="W67" s="50"/>
      <c r="X67" s="50"/>
      <c r="Y67" s="47"/>
      <c r="Z67" s="377"/>
      <c r="AA67" s="77"/>
      <c r="AB67" s="556"/>
    </row>
    <row r="68" spans="1:28" ht="18">
      <c r="A68" s="79" t="s">
        <v>225</v>
      </c>
      <c r="B68" s="78"/>
      <c r="C68" s="78"/>
      <c r="D68" s="78"/>
      <c r="E68" s="78"/>
      <c r="F68" s="78"/>
      <c r="G68" s="78"/>
      <c r="H68" s="78"/>
      <c r="I68" s="78">
        <v>308914</v>
      </c>
      <c r="J68" s="78">
        <v>308914</v>
      </c>
      <c r="K68" s="78">
        <v>308914</v>
      </c>
      <c r="L68" s="78">
        <v>308914</v>
      </c>
      <c r="M68" s="78">
        <v>308914</v>
      </c>
      <c r="N68" s="78"/>
      <c r="O68" s="812"/>
      <c r="P68" s="381"/>
      <c r="Q68" s="47"/>
      <c r="R68" s="47"/>
      <c r="S68" s="47"/>
      <c r="T68" s="47"/>
      <c r="U68" s="50"/>
      <c r="V68" s="50"/>
      <c r="W68" s="50"/>
      <c r="X68" s="50"/>
      <c r="Y68" s="47"/>
      <c r="Z68" s="377"/>
      <c r="AA68" s="77"/>
      <c r="AB68" s="556"/>
    </row>
    <row r="69" spans="1:28" ht="18">
      <c r="A69" s="79" t="s">
        <v>349</v>
      </c>
      <c r="B69" s="78"/>
      <c r="C69" s="78"/>
      <c r="D69" s="78"/>
      <c r="E69" s="78"/>
      <c r="F69" s="78"/>
      <c r="G69" s="78"/>
      <c r="H69" s="78"/>
      <c r="I69" s="78">
        <v>53620</v>
      </c>
      <c r="J69" s="78">
        <v>53620</v>
      </c>
      <c r="K69" s="78">
        <v>53620</v>
      </c>
      <c r="L69" s="78">
        <v>53620</v>
      </c>
      <c r="M69" s="78">
        <v>53620</v>
      </c>
      <c r="N69" s="78"/>
      <c r="O69" s="812"/>
      <c r="P69" s="381"/>
      <c r="Q69" s="47"/>
      <c r="R69" s="47"/>
      <c r="S69" s="47"/>
      <c r="T69" s="47"/>
      <c r="U69" s="50"/>
      <c r="V69" s="50"/>
      <c r="W69" s="50"/>
      <c r="X69" s="50"/>
      <c r="Y69" s="47"/>
      <c r="Z69" s="377"/>
      <c r="AA69" s="77"/>
      <c r="AB69" s="556"/>
    </row>
    <row r="70" spans="1:28" ht="18">
      <c r="A70" s="79" t="s">
        <v>226</v>
      </c>
      <c r="B70" s="78"/>
      <c r="C70" s="78"/>
      <c r="D70" s="78"/>
      <c r="E70" s="78"/>
      <c r="F70" s="78"/>
      <c r="G70" s="78"/>
      <c r="H70" s="78"/>
      <c r="I70" s="78">
        <v>56480</v>
      </c>
      <c r="J70" s="78">
        <v>56480</v>
      </c>
      <c r="K70" s="78">
        <v>56480</v>
      </c>
      <c r="L70" s="78">
        <v>56480</v>
      </c>
      <c r="M70" s="78">
        <v>56480</v>
      </c>
      <c r="N70" s="78"/>
      <c r="O70" s="812"/>
      <c r="P70" s="381"/>
      <c r="Q70" s="47"/>
      <c r="R70" s="47"/>
      <c r="S70" s="47"/>
      <c r="T70" s="47"/>
      <c r="U70" s="50"/>
      <c r="V70" s="50"/>
      <c r="W70" s="50"/>
      <c r="X70" s="50"/>
      <c r="Y70" s="47"/>
      <c r="Z70" s="377"/>
      <c r="AA70" s="77"/>
      <c r="AB70" s="556"/>
    </row>
    <row r="71" spans="1:28" ht="18">
      <c r="A71" s="79" t="s">
        <v>227</v>
      </c>
      <c r="B71" s="78"/>
      <c r="C71" s="78"/>
      <c r="D71" s="78"/>
      <c r="E71" s="78"/>
      <c r="F71" s="78"/>
      <c r="G71" s="78"/>
      <c r="H71" s="78"/>
      <c r="I71" s="78">
        <v>86670</v>
      </c>
      <c r="J71" s="78">
        <v>86670</v>
      </c>
      <c r="K71" s="78">
        <v>86670</v>
      </c>
      <c r="L71" s="78">
        <v>86670</v>
      </c>
      <c r="M71" s="78">
        <v>86670</v>
      </c>
      <c r="N71" s="78"/>
      <c r="O71" s="812"/>
      <c r="P71" s="381"/>
      <c r="Q71" s="47"/>
      <c r="R71" s="47"/>
      <c r="S71" s="47"/>
      <c r="T71" s="47"/>
      <c r="U71" s="50"/>
      <c r="V71" s="50"/>
      <c r="W71" s="50"/>
      <c r="X71" s="50"/>
      <c r="Y71" s="47"/>
      <c r="Z71" s="377"/>
      <c r="AA71" s="77"/>
      <c r="AB71" s="556"/>
    </row>
    <row r="72" spans="1:28" ht="18">
      <c r="A72" s="79" t="s">
        <v>228</v>
      </c>
      <c r="B72" s="78"/>
      <c r="C72" s="78"/>
      <c r="D72" s="78"/>
      <c r="E72" s="78"/>
      <c r="F72" s="78"/>
      <c r="G72" s="78"/>
      <c r="H72" s="78"/>
      <c r="I72" s="78">
        <v>54900</v>
      </c>
      <c r="J72" s="78">
        <v>54900</v>
      </c>
      <c r="K72" s="78">
        <v>54900</v>
      </c>
      <c r="L72" s="78">
        <v>54900</v>
      </c>
      <c r="M72" s="78">
        <v>54900</v>
      </c>
      <c r="N72" s="78"/>
      <c r="O72" s="812"/>
      <c r="P72" s="381"/>
      <c r="Q72" s="47"/>
      <c r="R72" s="47"/>
      <c r="S72" s="47"/>
      <c r="T72" s="47"/>
      <c r="U72" s="50"/>
      <c r="V72" s="50"/>
      <c r="W72" s="50"/>
      <c r="X72" s="50"/>
      <c r="Y72" s="47"/>
      <c r="Z72" s="377"/>
      <c r="AA72" s="77"/>
      <c r="AB72" s="556"/>
    </row>
    <row r="73" spans="1:28" ht="18">
      <c r="A73" s="79" t="s">
        <v>229</v>
      </c>
      <c r="B73" s="78"/>
      <c r="C73" s="78"/>
      <c r="D73" s="78"/>
      <c r="E73" s="78"/>
      <c r="F73" s="78"/>
      <c r="G73" s="78"/>
      <c r="H73" s="78"/>
      <c r="I73" s="78">
        <v>86670</v>
      </c>
      <c r="J73" s="78">
        <v>86670</v>
      </c>
      <c r="K73" s="78">
        <v>86670</v>
      </c>
      <c r="L73" s="78">
        <v>86670</v>
      </c>
      <c r="M73" s="78">
        <v>86670</v>
      </c>
      <c r="N73" s="78"/>
      <c r="O73" s="812"/>
      <c r="P73" s="381"/>
      <c r="Q73" s="47"/>
      <c r="R73" s="47"/>
      <c r="S73" s="47"/>
      <c r="T73" s="47"/>
      <c r="U73" s="50"/>
      <c r="V73" s="50"/>
      <c r="W73" s="50"/>
      <c r="X73" s="50"/>
      <c r="Y73" s="47"/>
      <c r="Z73" s="377"/>
      <c r="AA73" s="77"/>
      <c r="AB73" s="556"/>
    </row>
    <row r="74" spans="1:28" ht="18">
      <c r="A74" s="79" t="s">
        <v>473</v>
      </c>
      <c r="B74" s="78"/>
      <c r="C74" s="78"/>
      <c r="D74" s="78"/>
      <c r="E74" s="78"/>
      <c r="F74" s="78"/>
      <c r="G74" s="78"/>
      <c r="H74" s="78"/>
      <c r="I74" s="78">
        <v>244440</v>
      </c>
      <c r="J74" s="78">
        <v>244440</v>
      </c>
      <c r="K74" s="78">
        <v>244440</v>
      </c>
      <c r="L74" s="78">
        <v>244440</v>
      </c>
      <c r="M74" s="78">
        <v>244440</v>
      </c>
      <c r="N74" s="78"/>
      <c r="O74" s="812"/>
      <c r="P74" s="381"/>
      <c r="Q74" s="47"/>
      <c r="R74" s="47"/>
      <c r="S74" s="47"/>
      <c r="T74" s="47"/>
      <c r="U74" s="50"/>
      <c r="V74" s="50"/>
      <c r="W74" s="50"/>
      <c r="X74" s="50"/>
      <c r="Y74" s="47"/>
      <c r="Z74" s="377"/>
      <c r="AA74" s="77"/>
      <c r="AB74" s="556"/>
    </row>
    <row r="75" spans="1:28" ht="39" customHeight="1">
      <c r="A75" s="79" t="s">
        <v>236</v>
      </c>
      <c r="B75" s="78">
        <v>131891171</v>
      </c>
      <c r="C75" s="78">
        <f>131891171</f>
        <v>131891171</v>
      </c>
      <c r="D75" s="78">
        <f>131891171</f>
        <v>131891171</v>
      </c>
      <c r="E75" s="78">
        <f>131891171</f>
        <v>131891171</v>
      </c>
      <c r="F75" s="78">
        <f>131891171-3611000</f>
        <v>128280171</v>
      </c>
      <c r="G75" s="78"/>
      <c r="H75" s="812"/>
      <c r="I75" s="78"/>
      <c r="J75" s="78"/>
      <c r="K75" s="78"/>
      <c r="L75" s="78"/>
      <c r="M75" s="78"/>
      <c r="N75" s="78"/>
      <c r="O75" s="382"/>
      <c r="P75" s="381"/>
      <c r="Q75" s="47"/>
      <c r="R75" s="47"/>
      <c r="S75" s="47"/>
      <c r="T75" s="47"/>
      <c r="U75" s="50"/>
      <c r="V75" s="50"/>
      <c r="W75" s="50"/>
      <c r="X75" s="50"/>
      <c r="Y75" s="47"/>
      <c r="Z75" s="377"/>
      <c r="AA75" s="77"/>
      <c r="AB75" s="556"/>
    </row>
    <row r="76" spans="1:28" ht="18">
      <c r="A76" s="79" t="s">
        <v>244</v>
      </c>
      <c r="B76" s="78"/>
      <c r="C76" s="78"/>
      <c r="D76" s="78"/>
      <c r="E76" s="78"/>
      <c r="F76" s="78"/>
      <c r="G76" s="78"/>
      <c r="H76" s="78"/>
      <c r="I76" s="78">
        <v>12000</v>
      </c>
      <c r="J76" s="78">
        <v>12000</v>
      </c>
      <c r="K76" s="78">
        <v>12000</v>
      </c>
      <c r="L76" s="78">
        <v>12000</v>
      </c>
      <c r="M76" s="78">
        <v>12000</v>
      </c>
      <c r="N76" s="78"/>
      <c r="O76" s="382"/>
      <c r="P76" s="381"/>
      <c r="Q76" s="47"/>
      <c r="R76" s="47"/>
      <c r="S76" s="47"/>
      <c r="T76" s="47"/>
      <c r="U76" s="50"/>
      <c r="V76" s="50"/>
      <c r="W76" s="50"/>
      <c r="X76" s="50"/>
      <c r="Y76" s="47"/>
      <c r="Z76" s="377"/>
      <c r="AA76" s="77"/>
      <c r="AB76" s="556"/>
    </row>
    <row r="77" spans="1:28" ht="18" hidden="1">
      <c r="A77" s="79" t="s">
        <v>245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382"/>
      <c r="P77" s="381"/>
      <c r="Q77" s="47"/>
      <c r="R77" s="47"/>
      <c r="S77" s="47"/>
      <c r="T77" s="47"/>
      <c r="U77" s="50"/>
      <c r="V77" s="50"/>
      <c r="W77" s="50"/>
      <c r="X77" s="50"/>
      <c r="Y77" s="47"/>
      <c r="Z77" s="377"/>
      <c r="AA77" s="77"/>
      <c r="AB77" s="556"/>
    </row>
    <row r="78" spans="1:28" ht="47.25" customHeight="1" hidden="1">
      <c r="A78" s="79" t="s">
        <v>246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382"/>
      <c r="P78" s="381"/>
      <c r="Q78" s="47"/>
      <c r="R78" s="47"/>
      <c r="S78" s="47"/>
      <c r="T78" s="47"/>
      <c r="U78" s="50"/>
      <c r="V78" s="50"/>
      <c r="W78" s="50"/>
      <c r="X78" s="50"/>
      <c r="Y78" s="47"/>
      <c r="Z78" s="377"/>
      <c r="AA78" s="77"/>
      <c r="AB78" s="556"/>
    </row>
    <row r="79" spans="1:28" ht="39" customHeight="1" hidden="1">
      <c r="A79" s="24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382"/>
      <c r="P79" s="381"/>
      <c r="Q79" s="47"/>
      <c r="R79" s="47"/>
      <c r="S79" s="47"/>
      <c r="T79" s="47"/>
      <c r="U79" s="50"/>
      <c r="V79" s="50"/>
      <c r="W79" s="50"/>
      <c r="X79" s="50"/>
      <c r="Y79" s="47"/>
      <c r="Z79" s="377"/>
      <c r="AA79" s="77"/>
      <c r="AB79" s="556"/>
    </row>
    <row r="80" spans="1:28" ht="39" customHeight="1" hidden="1">
      <c r="A80" s="24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382"/>
      <c r="P80" s="381"/>
      <c r="Q80" s="47"/>
      <c r="R80" s="47"/>
      <c r="S80" s="47"/>
      <c r="T80" s="47"/>
      <c r="U80" s="50"/>
      <c r="V80" s="50"/>
      <c r="W80" s="50"/>
      <c r="X80" s="50"/>
      <c r="Y80" s="47"/>
      <c r="Z80" s="377"/>
      <c r="AA80" s="77"/>
      <c r="AB80" s="556"/>
    </row>
    <row r="81" spans="1:28" ht="39" customHeight="1" hidden="1">
      <c r="A81" s="24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382"/>
      <c r="P81" s="381"/>
      <c r="Q81" s="47"/>
      <c r="R81" s="47"/>
      <c r="S81" s="47"/>
      <c r="T81" s="47"/>
      <c r="U81" s="50"/>
      <c r="V81" s="50"/>
      <c r="W81" s="50"/>
      <c r="X81" s="50"/>
      <c r="Y81" s="47"/>
      <c r="Z81" s="377"/>
      <c r="AA81" s="77"/>
      <c r="AB81" s="556"/>
    </row>
    <row r="82" spans="1:28" ht="39" customHeight="1" hidden="1">
      <c r="A82" s="24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382"/>
      <c r="P82" s="381"/>
      <c r="Q82" s="47"/>
      <c r="R82" s="47"/>
      <c r="S82" s="47"/>
      <c r="T82" s="47"/>
      <c r="U82" s="50"/>
      <c r="V82" s="50"/>
      <c r="W82" s="50"/>
      <c r="X82" s="50"/>
      <c r="Y82" s="47"/>
      <c r="Z82" s="377"/>
      <c r="AA82" s="77"/>
      <c r="AB82" s="556"/>
    </row>
    <row r="83" spans="1:28" ht="39" customHeight="1" hidden="1">
      <c r="A83" s="24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382"/>
      <c r="P83" s="381"/>
      <c r="Q83" s="47"/>
      <c r="R83" s="47"/>
      <c r="S83" s="47"/>
      <c r="T83" s="47"/>
      <c r="U83" s="50"/>
      <c r="V83" s="50"/>
      <c r="W83" s="50"/>
      <c r="X83" s="50"/>
      <c r="Y83" s="47"/>
      <c r="Z83" s="377"/>
      <c r="AA83" s="77"/>
      <c r="AB83" s="556"/>
    </row>
    <row r="84" spans="1:28" ht="39" customHeight="1" hidden="1">
      <c r="A84" s="24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382"/>
      <c r="P84" s="381"/>
      <c r="Q84" s="47"/>
      <c r="R84" s="47"/>
      <c r="S84" s="47"/>
      <c r="T84" s="47"/>
      <c r="U84" s="50"/>
      <c r="V84" s="50"/>
      <c r="W84" s="50"/>
      <c r="X84" s="50"/>
      <c r="Y84" s="47"/>
      <c r="Z84" s="377"/>
      <c r="AA84" s="77"/>
      <c r="AB84" s="556"/>
    </row>
    <row r="85" spans="1:28" s="15" customFormat="1" ht="27" customHeight="1" thickBot="1">
      <c r="A85" s="46" t="s">
        <v>1</v>
      </c>
      <c r="B85" s="52">
        <f aca="true" t="shared" si="2" ref="B85:G85">SUM(B65:B79)</f>
        <v>132244251</v>
      </c>
      <c r="C85" s="52">
        <f t="shared" si="2"/>
        <v>132244251</v>
      </c>
      <c r="D85" s="52">
        <f t="shared" si="2"/>
        <v>132244251</v>
      </c>
      <c r="E85" s="52">
        <f t="shared" si="2"/>
        <v>132244251</v>
      </c>
      <c r="F85" s="52">
        <f t="shared" si="2"/>
        <v>128633251</v>
      </c>
      <c r="G85" s="52">
        <f t="shared" si="2"/>
        <v>0</v>
      </c>
      <c r="H85" s="817">
        <f>F85/E85</f>
        <v>0.9726944651832161</v>
      </c>
      <c r="I85" s="816">
        <f aca="true" t="shared" si="3" ref="I85:U85">SUM(I65:I79)</f>
        <v>1037744</v>
      </c>
      <c r="J85" s="816">
        <f>SUM(J65:J79)</f>
        <v>1037744</v>
      </c>
      <c r="K85" s="816">
        <f>SUM(K65:K79)</f>
        <v>1037744</v>
      </c>
      <c r="L85" s="816">
        <f>SUM(L65:L79)</f>
        <v>1037744</v>
      </c>
      <c r="M85" s="816">
        <f>SUM(M65:M79)</f>
        <v>1037744</v>
      </c>
      <c r="N85" s="816">
        <f>SUM(N65:N79)</f>
        <v>0</v>
      </c>
      <c r="O85" s="817">
        <f>M85/L85</f>
        <v>1</v>
      </c>
      <c r="P85" s="815">
        <f t="shared" si="3"/>
        <v>0</v>
      </c>
      <c r="Q85" s="52">
        <f t="shared" si="3"/>
        <v>0</v>
      </c>
      <c r="R85" s="52">
        <f t="shared" si="3"/>
        <v>0</v>
      </c>
      <c r="S85" s="52">
        <f t="shared" si="3"/>
        <v>0</v>
      </c>
      <c r="T85" s="52">
        <f t="shared" si="3"/>
        <v>0</v>
      </c>
      <c r="U85" s="52">
        <f t="shared" si="3"/>
        <v>0</v>
      </c>
      <c r="V85" s="52"/>
      <c r="W85" s="52"/>
      <c r="X85" s="52"/>
      <c r="Y85" s="52"/>
      <c r="Z85" s="912"/>
      <c r="AA85" s="269"/>
      <c r="AB85" s="556"/>
    </row>
    <row r="86" spans="9:21" ht="15">
      <c r="I86" s="291"/>
      <c r="U86" s="291"/>
    </row>
    <row r="87" spans="1:21" ht="14.25">
      <c r="A87" s="1165" t="s">
        <v>590</v>
      </c>
      <c r="B87" s="1165"/>
      <c r="C87" s="1165"/>
      <c r="D87" s="1165"/>
      <c r="E87" s="1165"/>
      <c r="F87" s="1165"/>
      <c r="G87" s="1165"/>
      <c r="H87" s="1165"/>
      <c r="I87" s="1165"/>
      <c r="J87" s="1165"/>
      <c r="K87" s="1165"/>
      <c r="L87" s="1165"/>
      <c r="M87" s="1165"/>
      <c r="N87" s="1165"/>
      <c r="O87" s="1165"/>
      <c r="P87" s="1165"/>
      <c r="Q87" s="1165"/>
      <c r="R87" s="1165"/>
      <c r="S87" s="1165"/>
      <c r="T87" s="1165"/>
      <c r="U87" s="1165"/>
    </row>
    <row r="88" spans="1:14" ht="36.75" thickBot="1">
      <c r="A88" s="984" t="s">
        <v>588</v>
      </c>
      <c r="E88" s="375"/>
      <c r="F88" s="375"/>
      <c r="G88" s="375"/>
      <c r="N88" s="920">
        <f>N85+G85</f>
        <v>0</v>
      </c>
    </row>
    <row r="89" spans="1:27" ht="15.75">
      <c r="A89" s="1166" t="s">
        <v>222</v>
      </c>
      <c r="B89" s="1168" t="s">
        <v>24</v>
      </c>
      <c r="C89" s="1169"/>
      <c r="D89" s="1169"/>
      <c r="E89" s="1169"/>
      <c r="F89" s="1169"/>
      <c r="G89" s="1169"/>
      <c r="H89" s="1169"/>
      <c r="I89" s="1169"/>
      <c r="J89" s="1169"/>
      <c r="K89" s="1169"/>
      <c r="L89" s="1169"/>
      <c r="M89" s="1169"/>
      <c r="N89" s="1169"/>
      <c r="O89" s="1169"/>
      <c r="P89" s="1170" t="s">
        <v>25</v>
      </c>
      <c r="Q89" s="1171"/>
      <c r="R89" s="1171"/>
      <c r="S89" s="1171"/>
      <c r="T89" s="1171"/>
      <c r="U89" s="1171"/>
      <c r="V89" s="1171"/>
      <c r="W89" s="1171"/>
      <c r="X89" s="1171"/>
      <c r="Y89" s="1171"/>
      <c r="Z89" s="1168"/>
      <c r="AA89" s="1172"/>
    </row>
    <row r="90" spans="1:27" ht="15.75">
      <c r="A90" s="1167"/>
      <c r="B90" s="1173" t="s">
        <v>65</v>
      </c>
      <c r="C90" s="1174"/>
      <c r="D90" s="1174"/>
      <c r="E90" s="1174"/>
      <c r="F90" s="1174"/>
      <c r="G90" s="1174"/>
      <c r="H90" s="1175"/>
      <c r="I90" s="1173" t="s">
        <v>66</v>
      </c>
      <c r="J90" s="1174"/>
      <c r="K90" s="1174"/>
      <c r="L90" s="1174"/>
      <c r="M90" s="1174"/>
      <c r="N90" s="1174"/>
      <c r="O90" s="1174"/>
      <c r="P90" s="1176" t="s">
        <v>65</v>
      </c>
      <c r="Q90" s="1177"/>
      <c r="R90" s="1177"/>
      <c r="S90" s="1177"/>
      <c r="T90" s="1177"/>
      <c r="U90" s="1177" t="s">
        <v>66</v>
      </c>
      <c r="V90" s="1177"/>
      <c r="W90" s="1177"/>
      <c r="X90" s="1177"/>
      <c r="Y90" s="1177"/>
      <c r="Z90" s="1173"/>
      <c r="AA90" s="1178"/>
    </row>
    <row r="91" spans="1:27" ht="15.75">
      <c r="A91" s="300"/>
      <c r="B91" s="301" t="s">
        <v>232</v>
      </c>
      <c r="C91" s="301" t="s">
        <v>230</v>
      </c>
      <c r="D91" s="558" t="s">
        <v>235</v>
      </c>
      <c r="E91" s="301" t="s">
        <v>238</v>
      </c>
      <c r="F91" s="301" t="s">
        <v>494</v>
      </c>
      <c r="G91" s="301" t="s">
        <v>499</v>
      </c>
      <c r="H91" s="301" t="s">
        <v>240</v>
      </c>
      <c r="I91" s="301" t="s">
        <v>232</v>
      </c>
      <c r="J91" s="857" t="s">
        <v>230</v>
      </c>
      <c r="K91" s="862" t="s">
        <v>235</v>
      </c>
      <c r="L91" s="863" t="s">
        <v>238</v>
      </c>
      <c r="M91" s="301" t="s">
        <v>494</v>
      </c>
      <c r="N91" s="913" t="s">
        <v>499</v>
      </c>
      <c r="O91" s="863" t="s">
        <v>240</v>
      </c>
      <c r="P91" s="858" t="s">
        <v>232</v>
      </c>
      <c r="Q91" s="301" t="s">
        <v>230</v>
      </c>
      <c r="R91" s="558" t="s">
        <v>235</v>
      </c>
      <c r="S91" s="301" t="s">
        <v>238</v>
      </c>
      <c r="T91" s="301" t="s">
        <v>433</v>
      </c>
      <c r="U91" s="301" t="s">
        <v>232</v>
      </c>
      <c r="V91" s="301" t="s">
        <v>230</v>
      </c>
      <c r="W91" s="558" t="s">
        <v>235</v>
      </c>
      <c r="X91" s="301" t="s">
        <v>238</v>
      </c>
      <c r="Y91" s="301" t="s">
        <v>494</v>
      </c>
      <c r="Z91" s="913" t="s">
        <v>499</v>
      </c>
      <c r="AA91" s="301" t="s">
        <v>240</v>
      </c>
    </row>
    <row r="92" spans="1:27" ht="18">
      <c r="A92" s="43" t="s">
        <v>589</v>
      </c>
      <c r="B92" s="50"/>
      <c r="C92" s="50"/>
      <c r="D92" s="50"/>
      <c r="E92" s="50"/>
      <c r="F92" s="50"/>
      <c r="G92" s="50"/>
      <c r="H92" s="812"/>
      <c r="I92" s="50"/>
      <c r="J92" s="50"/>
      <c r="K92" s="50"/>
      <c r="L92" s="50"/>
      <c r="M92" s="378"/>
      <c r="N92" s="378"/>
      <c r="O92" s="378"/>
      <c r="P92" s="381"/>
      <c r="Q92" s="47"/>
      <c r="R92" s="47"/>
      <c r="S92" s="47"/>
      <c r="T92" s="47"/>
      <c r="U92" s="50"/>
      <c r="V92" s="50"/>
      <c r="W92" s="50"/>
      <c r="X92" s="50">
        <v>1500000</v>
      </c>
      <c r="Y92" s="50">
        <v>1500000</v>
      </c>
      <c r="Z92" s="377"/>
      <c r="AA92" s="77"/>
    </row>
    <row r="93" spans="1:27" ht="18" hidden="1">
      <c r="A93" s="43" t="s">
        <v>500</v>
      </c>
      <c r="B93" s="78"/>
      <c r="C93" s="78"/>
      <c r="D93" s="78"/>
      <c r="E93" s="78"/>
      <c r="F93" s="78"/>
      <c r="G93" s="78"/>
      <c r="H93" s="812"/>
      <c r="I93" s="78"/>
      <c r="J93" s="78"/>
      <c r="K93" s="78"/>
      <c r="L93" s="78"/>
      <c r="M93" s="382"/>
      <c r="N93" s="382"/>
      <c r="O93" s="382"/>
      <c r="P93" s="381"/>
      <c r="Q93" s="47"/>
      <c r="R93" s="47"/>
      <c r="S93" s="47"/>
      <c r="T93" s="47"/>
      <c r="U93" s="50"/>
      <c r="V93" s="50"/>
      <c r="W93" s="50"/>
      <c r="X93" s="50"/>
      <c r="Y93" s="47"/>
      <c r="Z93" s="377"/>
      <c r="AA93" s="77"/>
    </row>
    <row r="94" spans="1:27" ht="18" hidden="1">
      <c r="A94" s="79" t="s">
        <v>224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812"/>
      <c r="P94" s="381"/>
      <c r="Q94" s="47"/>
      <c r="R94" s="47"/>
      <c r="S94" s="47"/>
      <c r="T94" s="47"/>
      <c r="U94" s="50"/>
      <c r="V94" s="50"/>
      <c r="W94" s="50"/>
      <c r="X94" s="50"/>
      <c r="Y94" s="47"/>
      <c r="Z94" s="377"/>
      <c r="AA94" s="77"/>
    </row>
    <row r="95" spans="1:27" ht="18" hidden="1">
      <c r="A95" s="79" t="s">
        <v>225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812"/>
      <c r="P95" s="381"/>
      <c r="Q95" s="47"/>
      <c r="R95" s="47"/>
      <c r="S95" s="47"/>
      <c r="T95" s="47"/>
      <c r="U95" s="50"/>
      <c r="V95" s="50"/>
      <c r="W95" s="50"/>
      <c r="X95" s="50"/>
      <c r="Y95" s="47"/>
      <c r="Z95" s="377"/>
      <c r="AA95" s="77"/>
    </row>
    <row r="96" spans="1:27" ht="18" hidden="1">
      <c r="A96" s="79" t="s">
        <v>349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812"/>
      <c r="P96" s="381"/>
      <c r="Q96" s="47"/>
      <c r="R96" s="47"/>
      <c r="S96" s="47"/>
      <c r="T96" s="47"/>
      <c r="U96" s="50"/>
      <c r="V96" s="50"/>
      <c r="W96" s="50"/>
      <c r="X96" s="50"/>
      <c r="Y96" s="47"/>
      <c r="Z96" s="377"/>
      <c r="AA96" s="77"/>
    </row>
    <row r="97" spans="1:27" ht="18" hidden="1">
      <c r="A97" s="79" t="s">
        <v>226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812"/>
      <c r="P97" s="381"/>
      <c r="Q97" s="47"/>
      <c r="R97" s="47"/>
      <c r="S97" s="47"/>
      <c r="T97" s="47"/>
      <c r="U97" s="50"/>
      <c r="V97" s="50"/>
      <c r="W97" s="50"/>
      <c r="X97" s="50"/>
      <c r="Y97" s="47"/>
      <c r="Z97" s="377"/>
      <c r="AA97" s="77"/>
    </row>
    <row r="98" spans="1:27" ht="18" hidden="1">
      <c r="A98" s="79" t="s">
        <v>227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812"/>
      <c r="P98" s="381"/>
      <c r="Q98" s="47"/>
      <c r="R98" s="47"/>
      <c r="S98" s="47"/>
      <c r="T98" s="47"/>
      <c r="U98" s="50"/>
      <c r="V98" s="50"/>
      <c r="W98" s="50"/>
      <c r="X98" s="50"/>
      <c r="Y98" s="47"/>
      <c r="Z98" s="377"/>
      <c r="AA98" s="77"/>
    </row>
    <row r="99" spans="1:27" ht="18" hidden="1">
      <c r="A99" s="79" t="s">
        <v>228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812"/>
      <c r="P99" s="381"/>
      <c r="Q99" s="47"/>
      <c r="R99" s="47"/>
      <c r="S99" s="47"/>
      <c r="T99" s="47"/>
      <c r="U99" s="50"/>
      <c r="V99" s="50"/>
      <c r="W99" s="50"/>
      <c r="X99" s="50"/>
      <c r="Y99" s="47"/>
      <c r="Z99" s="377"/>
      <c r="AA99" s="77"/>
    </row>
    <row r="100" spans="1:27" ht="18" hidden="1">
      <c r="A100" s="79" t="s">
        <v>229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812"/>
      <c r="P100" s="381"/>
      <c r="Q100" s="47"/>
      <c r="R100" s="47"/>
      <c r="S100" s="47"/>
      <c r="T100" s="47"/>
      <c r="U100" s="50"/>
      <c r="V100" s="50"/>
      <c r="W100" s="50"/>
      <c r="X100" s="50"/>
      <c r="Y100" s="47"/>
      <c r="Z100" s="377"/>
      <c r="AA100" s="77"/>
    </row>
    <row r="101" spans="1:27" ht="18" hidden="1">
      <c r="A101" s="79" t="s">
        <v>473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812"/>
      <c r="P101" s="381"/>
      <c r="Q101" s="47"/>
      <c r="R101" s="47"/>
      <c r="S101" s="47"/>
      <c r="T101" s="47"/>
      <c r="U101" s="50"/>
      <c r="V101" s="50"/>
      <c r="W101" s="50"/>
      <c r="X101" s="50"/>
      <c r="Y101" s="47"/>
      <c r="Z101" s="377"/>
      <c r="AA101" s="77"/>
    </row>
    <row r="102" spans="1:27" ht="18" hidden="1">
      <c r="A102" s="79" t="s">
        <v>236</v>
      </c>
      <c r="B102" s="78"/>
      <c r="C102" s="78"/>
      <c r="D102" s="78"/>
      <c r="E102" s="78"/>
      <c r="F102" s="78"/>
      <c r="G102" s="78"/>
      <c r="H102" s="812"/>
      <c r="I102" s="78"/>
      <c r="J102" s="78"/>
      <c r="K102" s="78"/>
      <c r="L102" s="78"/>
      <c r="M102" s="78"/>
      <c r="N102" s="78"/>
      <c r="O102" s="382"/>
      <c r="P102" s="381"/>
      <c r="Q102" s="47"/>
      <c r="R102" s="47"/>
      <c r="S102" s="47"/>
      <c r="T102" s="47"/>
      <c r="U102" s="50"/>
      <c r="V102" s="50"/>
      <c r="W102" s="50"/>
      <c r="X102" s="50"/>
      <c r="Y102" s="47"/>
      <c r="Z102" s="377"/>
      <c r="AA102" s="77"/>
    </row>
    <row r="103" spans="1:27" ht="18" hidden="1">
      <c r="A103" s="79" t="s">
        <v>244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382"/>
      <c r="P103" s="381"/>
      <c r="Q103" s="47"/>
      <c r="R103" s="47"/>
      <c r="S103" s="47"/>
      <c r="T103" s="47"/>
      <c r="U103" s="50"/>
      <c r="V103" s="50"/>
      <c r="W103" s="50"/>
      <c r="X103" s="50"/>
      <c r="Y103" s="47"/>
      <c r="Z103" s="377"/>
      <c r="AA103" s="77"/>
    </row>
    <row r="104" spans="1:27" ht="18" hidden="1">
      <c r="A104" s="79" t="s">
        <v>245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382"/>
      <c r="P104" s="381"/>
      <c r="Q104" s="47"/>
      <c r="R104" s="47"/>
      <c r="S104" s="47"/>
      <c r="T104" s="47"/>
      <c r="U104" s="50"/>
      <c r="V104" s="50"/>
      <c r="W104" s="50"/>
      <c r="X104" s="50"/>
      <c r="Y104" s="47"/>
      <c r="Z104" s="377"/>
      <c r="AA104" s="77"/>
    </row>
    <row r="105" spans="1:27" ht="18" hidden="1">
      <c r="A105" s="79" t="s">
        <v>246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382"/>
      <c r="P105" s="381"/>
      <c r="Q105" s="47"/>
      <c r="R105" s="47"/>
      <c r="S105" s="47"/>
      <c r="T105" s="47"/>
      <c r="U105" s="50"/>
      <c r="V105" s="50"/>
      <c r="W105" s="50"/>
      <c r="X105" s="50"/>
      <c r="Y105" s="47"/>
      <c r="Z105" s="377"/>
      <c r="AA105" s="77"/>
    </row>
    <row r="106" spans="1:27" ht="18" hidden="1">
      <c r="A106" s="247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382"/>
      <c r="P106" s="381"/>
      <c r="Q106" s="47"/>
      <c r="R106" s="47"/>
      <c r="S106" s="47"/>
      <c r="T106" s="47"/>
      <c r="U106" s="50"/>
      <c r="V106" s="50"/>
      <c r="W106" s="50"/>
      <c r="X106" s="50"/>
      <c r="Y106" s="47"/>
      <c r="Z106" s="377"/>
      <c r="AA106" s="77"/>
    </row>
    <row r="107" spans="1:27" ht="18" hidden="1">
      <c r="A107" s="24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382"/>
      <c r="P107" s="381"/>
      <c r="Q107" s="47"/>
      <c r="R107" s="47"/>
      <c r="S107" s="47"/>
      <c r="T107" s="47"/>
      <c r="U107" s="50"/>
      <c r="V107" s="50"/>
      <c r="W107" s="50"/>
      <c r="X107" s="50"/>
      <c r="Y107" s="47"/>
      <c r="Z107" s="377"/>
      <c r="AA107" s="77"/>
    </row>
    <row r="108" spans="1:27" ht="18" hidden="1">
      <c r="A108" s="24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382"/>
      <c r="P108" s="381"/>
      <c r="Q108" s="47"/>
      <c r="R108" s="47"/>
      <c r="S108" s="47"/>
      <c r="T108" s="47"/>
      <c r="U108" s="50"/>
      <c r="V108" s="50"/>
      <c r="W108" s="50"/>
      <c r="X108" s="50"/>
      <c r="Y108" s="47"/>
      <c r="Z108" s="377"/>
      <c r="AA108" s="77"/>
    </row>
    <row r="109" spans="1:27" ht="18" hidden="1">
      <c r="A109" s="24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382"/>
      <c r="P109" s="381"/>
      <c r="Q109" s="47"/>
      <c r="R109" s="47"/>
      <c r="S109" s="47"/>
      <c r="T109" s="47"/>
      <c r="U109" s="50"/>
      <c r="V109" s="50"/>
      <c r="W109" s="50"/>
      <c r="X109" s="50"/>
      <c r="Y109" s="47"/>
      <c r="Z109" s="377"/>
      <c r="AA109" s="77"/>
    </row>
    <row r="110" spans="1:27" ht="18" hidden="1">
      <c r="A110" s="247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382"/>
      <c r="P110" s="381"/>
      <c r="Q110" s="47"/>
      <c r="R110" s="47"/>
      <c r="S110" s="47"/>
      <c r="T110" s="47"/>
      <c r="U110" s="50"/>
      <c r="V110" s="50"/>
      <c r="W110" s="50"/>
      <c r="X110" s="50"/>
      <c r="Y110" s="47"/>
      <c r="Z110" s="377"/>
      <c r="AA110" s="77"/>
    </row>
    <row r="111" spans="1:27" ht="18" hidden="1">
      <c r="A111" s="247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382"/>
      <c r="P111" s="381"/>
      <c r="Q111" s="47"/>
      <c r="R111" s="47"/>
      <c r="S111" s="47"/>
      <c r="T111" s="47"/>
      <c r="U111" s="50"/>
      <c r="V111" s="50"/>
      <c r="W111" s="50"/>
      <c r="X111" s="50"/>
      <c r="Y111" s="47"/>
      <c r="Z111" s="377"/>
      <c r="AA111" s="77"/>
    </row>
    <row r="112" spans="1:27" ht="18.75" thickBot="1">
      <c r="A112" s="46" t="s">
        <v>1</v>
      </c>
      <c r="B112" s="52">
        <f aca="true" t="shared" si="4" ref="B112:G112">SUM(B92:B106)</f>
        <v>0</v>
      </c>
      <c r="C112" s="52">
        <f t="shared" si="4"/>
        <v>0</v>
      </c>
      <c r="D112" s="52">
        <f t="shared" si="4"/>
        <v>0</v>
      </c>
      <c r="E112" s="52">
        <f t="shared" si="4"/>
        <v>0</v>
      </c>
      <c r="F112" s="52">
        <f t="shared" si="4"/>
        <v>0</v>
      </c>
      <c r="G112" s="52">
        <f t="shared" si="4"/>
        <v>0</v>
      </c>
      <c r="H112" s="817" t="e">
        <f>F112/E112</f>
        <v>#DIV/0!</v>
      </c>
      <c r="I112" s="816">
        <f aca="true" t="shared" si="5" ref="I112:N112">SUM(I92:I106)</f>
        <v>0</v>
      </c>
      <c r="J112" s="816">
        <f t="shared" si="5"/>
        <v>0</v>
      </c>
      <c r="K112" s="816">
        <f t="shared" si="5"/>
        <v>0</v>
      </c>
      <c r="L112" s="816">
        <f t="shared" si="5"/>
        <v>0</v>
      </c>
      <c r="M112" s="816">
        <f t="shared" si="5"/>
        <v>0</v>
      </c>
      <c r="N112" s="816">
        <f t="shared" si="5"/>
        <v>0</v>
      </c>
      <c r="O112" s="817" t="e">
        <f>M112/L112</f>
        <v>#DIV/0!</v>
      </c>
      <c r="P112" s="815">
        <f aca="true" t="shared" si="6" ref="P112:U112">SUM(P92:P106)</f>
        <v>0</v>
      </c>
      <c r="Q112" s="52">
        <f t="shared" si="6"/>
        <v>0</v>
      </c>
      <c r="R112" s="52">
        <f t="shared" si="6"/>
        <v>0</v>
      </c>
      <c r="S112" s="52">
        <f t="shared" si="6"/>
        <v>0</v>
      </c>
      <c r="T112" s="52">
        <f t="shared" si="6"/>
        <v>0</v>
      </c>
      <c r="U112" s="52">
        <f t="shared" si="6"/>
        <v>0</v>
      </c>
      <c r="V112" s="52">
        <v>0</v>
      </c>
      <c r="W112" s="52">
        <v>0</v>
      </c>
      <c r="X112" s="816">
        <f>SUM(X92:X106)</f>
        <v>1500000</v>
      </c>
      <c r="Y112" s="816">
        <f>SUM(Y92:Y106)</f>
        <v>1500000</v>
      </c>
      <c r="Z112" s="912"/>
      <c r="AA112" s="269"/>
    </row>
    <row r="115" ht="12.75">
      <c r="C115" s="375"/>
    </row>
  </sheetData>
  <sheetProtection/>
  <mergeCells count="27">
    <mergeCell ref="P1:U1"/>
    <mergeCell ref="A2:U2"/>
    <mergeCell ref="A3:U3"/>
    <mergeCell ref="A4:U4"/>
    <mergeCell ref="A7:A8"/>
    <mergeCell ref="B7:O7"/>
    <mergeCell ref="P7:AA7"/>
    <mergeCell ref="B8:H8"/>
    <mergeCell ref="I8:O8"/>
    <mergeCell ref="P8:T8"/>
    <mergeCell ref="U8:AA8"/>
    <mergeCell ref="A60:U60"/>
    <mergeCell ref="A62:A63"/>
    <mergeCell ref="B62:O62"/>
    <mergeCell ref="P62:AA62"/>
    <mergeCell ref="B63:H63"/>
    <mergeCell ref="I63:O63"/>
    <mergeCell ref="P63:T63"/>
    <mergeCell ref="U63:AA63"/>
    <mergeCell ref="A87:U87"/>
    <mergeCell ref="A89:A90"/>
    <mergeCell ref="B89:O89"/>
    <mergeCell ref="P89:AA89"/>
    <mergeCell ref="B90:H90"/>
    <mergeCell ref="I90:O90"/>
    <mergeCell ref="P90:T90"/>
    <mergeCell ref="U90:AA90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3" r:id="rId1"/>
  <headerFooter alignWithMargins="0">
    <oddFooter>&amp;R
</oddFooter>
  </headerFooter>
  <colBreaks count="1" manualBreakCount="1">
    <brk id="28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F2"/>
    </sheetView>
  </sheetViews>
  <sheetFormatPr defaultColWidth="9.140625" defaultRowHeight="12.75"/>
  <cols>
    <col min="1" max="1" width="8.140625" style="712" customWidth="1"/>
    <col min="2" max="2" width="64.00390625" style="712" customWidth="1"/>
    <col min="3" max="3" width="19.8515625" style="712" customWidth="1"/>
    <col min="4" max="5" width="16.7109375" style="712" customWidth="1"/>
    <col min="6" max="6" width="15.7109375" style="712" customWidth="1"/>
    <col min="7" max="7" width="9.140625" style="712" hidden="1" customWidth="1"/>
    <col min="8" max="8" width="13.57421875" style="712" hidden="1" customWidth="1"/>
    <col min="9" max="9" width="12.140625" style="712" hidden="1" customWidth="1"/>
    <col min="10" max="11" width="11.140625" style="712" hidden="1" customWidth="1"/>
    <col min="12" max="12" width="9.140625" style="712" hidden="1" customWidth="1"/>
    <col min="13" max="16384" width="9.140625" style="712" customWidth="1"/>
  </cols>
  <sheetData>
    <row r="1" spans="3:6" ht="15">
      <c r="C1" s="1187" t="s">
        <v>200</v>
      </c>
      <c r="D1" s="1187"/>
      <c r="E1" s="1187"/>
      <c r="F1" s="1187"/>
    </row>
    <row r="2" spans="1:6" ht="47.25" customHeight="1">
      <c r="A2" s="1186" t="s">
        <v>424</v>
      </c>
      <c r="B2" s="1186"/>
      <c r="C2" s="1186"/>
      <c r="D2" s="1186"/>
      <c r="E2" s="1186"/>
      <c r="F2" s="1186"/>
    </row>
    <row r="3" spans="1:6" ht="15.75" customHeight="1" thickBot="1">
      <c r="A3" s="713"/>
      <c r="B3" s="713"/>
      <c r="C3" s="1188" t="s">
        <v>507</v>
      </c>
      <c r="D3" s="1188"/>
      <c r="E3" s="1188"/>
      <c r="F3" s="714"/>
    </row>
    <row r="4" spans="1:12" ht="44.25" customHeight="1" thickBot="1">
      <c r="A4" s="715" t="s">
        <v>254</v>
      </c>
      <c r="B4" s="716" t="s">
        <v>425</v>
      </c>
      <c r="C4" s="717" t="s">
        <v>529</v>
      </c>
      <c r="D4" s="717" t="s">
        <v>234</v>
      </c>
      <c r="E4" s="717" t="s">
        <v>237</v>
      </c>
      <c r="F4" s="717" t="s">
        <v>251</v>
      </c>
      <c r="G4" s="717" t="s">
        <v>465</v>
      </c>
      <c r="H4" s="717" t="s">
        <v>235</v>
      </c>
      <c r="I4" s="717" t="s">
        <v>238</v>
      </c>
      <c r="J4" s="717" t="s">
        <v>494</v>
      </c>
      <c r="K4" s="717" t="s">
        <v>499</v>
      </c>
      <c r="L4" s="717" t="s">
        <v>490</v>
      </c>
    </row>
    <row r="5" spans="1:12" ht="26.25" customHeight="1" thickBot="1">
      <c r="A5" s="718">
        <v>1</v>
      </c>
      <c r="B5" s="719">
        <v>2</v>
      </c>
      <c r="C5" s="720">
        <v>3</v>
      </c>
      <c r="D5" s="720">
        <v>4</v>
      </c>
      <c r="E5" s="720">
        <v>5</v>
      </c>
      <c r="F5" s="720">
        <v>6</v>
      </c>
      <c r="G5" s="720"/>
      <c r="H5" s="720">
        <v>4</v>
      </c>
      <c r="I5" s="720">
        <v>5</v>
      </c>
      <c r="J5" s="720">
        <v>6</v>
      </c>
      <c r="K5" s="720">
        <v>7</v>
      </c>
      <c r="L5" s="720">
        <v>7</v>
      </c>
    </row>
    <row r="6" spans="1:12" ht="31.5" customHeight="1">
      <c r="A6" s="721" t="s">
        <v>29</v>
      </c>
      <c r="B6" s="722" t="s">
        <v>291</v>
      </c>
      <c r="C6" s="723">
        <f>'1.sz.m-önk.össze.bev'!E8</f>
        <v>18000000</v>
      </c>
      <c r="D6" s="723">
        <f>'1.sz.m-önk.össze.bev'!F8</f>
        <v>18000000</v>
      </c>
      <c r="E6" s="723">
        <f>'1.sz.m-önk.össze.bev'!G8</f>
        <v>18000000</v>
      </c>
      <c r="F6" s="723">
        <f>'1.sz.m-önk.össze.bev'!H8</f>
        <v>18000000</v>
      </c>
      <c r="G6" s="723"/>
      <c r="H6" s="723"/>
      <c r="I6" s="723"/>
      <c r="J6" s="723"/>
      <c r="K6" s="723"/>
      <c r="L6" s="733" t="e">
        <f>J6/I6</f>
        <v>#DIV/0!</v>
      </c>
    </row>
    <row r="7" spans="1:12" ht="26.25" customHeight="1">
      <c r="A7" s="724" t="s">
        <v>30</v>
      </c>
      <c r="B7" s="722" t="s">
        <v>426</v>
      </c>
      <c r="C7" s="725">
        <f>'1.sz.m-önk.össze.bev'!E13</f>
        <v>100000000</v>
      </c>
      <c r="D7" s="725">
        <f>'1.sz.m-önk.össze.bev'!F13</f>
        <v>100000000</v>
      </c>
      <c r="E7" s="725">
        <f>'1.sz.m-önk.össze.bev'!G13</f>
        <v>100000000</v>
      </c>
      <c r="F7" s="725">
        <f>'1.sz.m-önk.össze.bev'!H13</f>
        <v>100000000</v>
      </c>
      <c r="G7" s="725"/>
      <c r="H7" s="725"/>
      <c r="I7" s="725"/>
      <c r="J7" s="725"/>
      <c r="K7" s="725"/>
      <c r="L7" s="734" t="e">
        <f aca="true" t="shared" si="0" ref="L7:L12">J7/I7</f>
        <v>#DIV/0!</v>
      </c>
    </row>
    <row r="8" spans="1:12" ht="33.75" customHeight="1">
      <c r="A8" s="726" t="s">
        <v>10</v>
      </c>
      <c r="B8" s="727" t="s">
        <v>427</v>
      </c>
      <c r="C8" s="728">
        <f>'1.sz.m-önk.össze.bev'!E17</f>
        <v>800000</v>
      </c>
      <c r="D8" s="728">
        <v>1604633</v>
      </c>
      <c r="E8" s="728">
        <f>'1.sz.m-önk.össze.bev'!H17</f>
        <v>1766821</v>
      </c>
      <c r="F8" s="728">
        <f>'1.sz.m-önk.össze.bev'!I17</f>
        <v>3063808</v>
      </c>
      <c r="G8" s="728"/>
      <c r="H8" s="728"/>
      <c r="I8" s="728"/>
      <c r="J8" s="728"/>
      <c r="K8" s="728"/>
      <c r="L8" s="735" t="e">
        <f t="shared" si="0"/>
        <v>#DIV/0!</v>
      </c>
    </row>
    <row r="9" spans="1:12" ht="33" customHeight="1">
      <c r="A9" s="724" t="s">
        <v>11</v>
      </c>
      <c r="B9" s="729" t="s">
        <v>306</v>
      </c>
      <c r="C9" s="728">
        <f>'1.sz.m-önk.össze.bev'!E20</f>
        <v>560000</v>
      </c>
      <c r="D9" s="728">
        <v>560020</v>
      </c>
      <c r="E9" s="728">
        <f>'1.sz.m-önk.össze.bev'!H20</f>
        <v>560020</v>
      </c>
      <c r="F9" s="728">
        <f>'1.sz.m-önk.össze.bev'!I20</f>
        <v>560020</v>
      </c>
      <c r="G9" s="728"/>
      <c r="H9" s="728"/>
      <c r="I9" s="728"/>
      <c r="J9" s="728"/>
      <c r="K9" s="728"/>
      <c r="L9" s="735" t="e">
        <f t="shared" si="0"/>
        <v>#DIV/0!</v>
      </c>
    </row>
    <row r="10" spans="1:12" ht="26.25" customHeight="1">
      <c r="A10" s="726" t="s">
        <v>12</v>
      </c>
      <c r="B10" s="729" t="s">
        <v>428</v>
      </c>
      <c r="C10" s="730">
        <f>'1.sz.m-önk.össze.bev'!E25</f>
        <v>9403508</v>
      </c>
      <c r="D10" s="730">
        <v>11391016</v>
      </c>
      <c r="E10" s="730">
        <f>'1.sz.m-önk.össze.bev'!H25</f>
        <v>11924870</v>
      </c>
      <c r="F10" s="730">
        <f>'1.sz.m-önk.össze.bev'!I25</f>
        <v>11924870</v>
      </c>
      <c r="G10" s="730"/>
      <c r="H10" s="730"/>
      <c r="I10" s="730"/>
      <c r="J10" s="730"/>
      <c r="K10" s="730"/>
      <c r="L10" s="736" t="e">
        <f t="shared" si="0"/>
        <v>#DIV/0!</v>
      </c>
    </row>
    <row r="11" spans="1:12" ht="26.25" customHeight="1" thickBot="1">
      <c r="A11" s="726" t="s">
        <v>13</v>
      </c>
      <c r="B11" s="729" t="s">
        <v>483</v>
      </c>
      <c r="C11" s="728">
        <v>0</v>
      </c>
      <c r="D11" s="728">
        <v>0</v>
      </c>
      <c r="E11" s="730">
        <f>'1.sz.m-önk.össze.bev'!H54</f>
        <v>10004115</v>
      </c>
      <c r="F11" s="730">
        <f>'1.sz.m-önk.össze.bev'!I54</f>
        <v>10004115</v>
      </c>
      <c r="G11" s="728"/>
      <c r="H11" s="728"/>
      <c r="I11" s="728"/>
      <c r="J11" s="728"/>
      <c r="K11" s="728"/>
      <c r="L11" s="735" t="e">
        <f t="shared" si="0"/>
        <v>#DIV/0!</v>
      </c>
    </row>
    <row r="12" spans="1:12" ht="26.25" customHeight="1" thickBot="1">
      <c r="A12" s="1183" t="s">
        <v>429</v>
      </c>
      <c r="B12" s="1184"/>
      <c r="C12" s="731">
        <f aca="true" t="shared" si="1" ref="C12:K12">SUM(C6:C11)</f>
        <v>128763508</v>
      </c>
      <c r="D12" s="731">
        <f t="shared" si="1"/>
        <v>131555669</v>
      </c>
      <c r="E12" s="731">
        <f t="shared" si="1"/>
        <v>142255826</v>
      </c>
      <c r="F12" s="731">
        <f t="shared" si="1"/>
        <v>143552813</v>
      </c>
      <c r="G12" s="731">
        <f t="shared" si="1"/>
        <v>0</v>
      </c>
      <c r="H12" s="731">
        <f t="shared" si="1"/>
        <v>0</v>
      </c>
      <c r="I12" s="731">
        <f t="shared" si="1"/>
        <v>0</v>
      </c>
      <c r="J12" s="731">
        <f t="shared" si="1"/>
        <v>0</v>
      </c>
      <c r="K12" s="731">
        <f t="shared" si="1"/>
        <v>0</v>
      </c>
      <c r="L12" s="737" t="e">
        <f t="shared" si="0"/>
        <v>#DIV/0!</v>
      </c>
    </row>
    <row r="13" spans="1:5" ht="23.25" customHeight="1">
      <c r="A13" s="1185"/>
      <c r="B13" s="1185"/>
      <c r="C13" s="1185"/>
      <c r="D13" s="732"/>
      <c r="E13" s="732"/>
    </row>
  </sheetData>
  <sheetProtection/>
  <mergeCells count="5">
    <mergeCell ref="A12:B12"/>
    <mergeCell ref="A13:C13"/>
    <mergeCell ref="A2:F2"/>
    <mergeCell ref="C1:F1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2" sqref="A2:O2"/>
    </sheetView>
  </sheetViews>
  <sheetFormatPr defaultColWidth="9.140625" defaultRowHeight="12.75"/>
  <cols>
    <col min="1" max="1" width="5.57421875" style="819" customWidth="1"/>
    <col min="2" max="2" width="24.7109375" style="820" customWidth="1"/>
    <col min="3" max="3" width="9.57421875" style="821" bestFit="1" customWidth="1"/>
    <col min="4" max="4" width="11.421875" style="821" customWidth="1"/>
    <col min="5" max="14" width="9.57421875" style="821" bestFit="1" customWidth="1"/>
    <col min="15" max="15" width="9.7109375" style="819" bestFit="1" customWidth="1"/>
    <col min="16" max="17" width="0" style="821" hidden="1" customWidth="1"/>
    <col min="18" max="16384" width="9.140625" style="821" customWidth="1"/>
  </cols>
  <sheetData>
    <row r="1" spans="13:15" ht="15.75">
      <c r="M1" s="1189" t="s">
        <v>432</v>
      </c>
      <c r="N1" s="1189"/>
      <c r="O1" s="1189"/>
    </row>
    <row r="2" spans="1:15" ht="31.5" customHeight="1">
      <c r="A2" s="1190" t="s">
        <v>531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</row>
    <row r="3" ht="16.5" thickBot="1">
      <c r="O3" s="822" t="s">
        <v>530</v>
      </c>
    </row>
    <row r="4" spans="1:15" s="819" customFormat="1" ht="35.25" customHeight="1" thickBot="1">
      <c r="A4" s="823" t="s">
        <v>254</v>
      </c>
      <c r="B4" s="824" t="s">
        <v>4</v>
      </c>
      <c r="C4" s="825" t="s">
        <v>435</v>
      </c>
      <c r="D4" s="825" t="s">
        <v>436</v>
      </c>
      <c r="E4" s="825" t="s">
        <v>437</v>
      </c>
      <c r="F4" s="825" t="s">
        <v>438</v>
      </c>
      <c r="G4" s="825" t="s">
        <v>439</v>
      </c>
      <c r="H4" s="825" t="s">
        <v>440</v>
      </c>
      <c r="I4" s="825" t="s">
        <v>441</v>
      </c>
      <c r="J4" s="825" t="s">
        <v>442</v>
      </c>
      <c r="K4" s="825" t="s">
        <v>443</v>
      </c>
      <c r="L4" s="825" t="s">
        <v>444</v>
      </c>
      <c r="M4" s="825" t="s">
        <v>445</v>
      </c>
      <c r="N4" s="825" t="s">
        <v>446</v>
      </c>
      <c r="O4" s="826" t="s">
        <v>22</v>
      </c>
    </row>
    <row r="5" spans="1:15" s="828" customFormat="1" ht="15" customHeight="1" thickBot="1">
      <c r="A5" s="827" t="s">
        <v>29</v>
      </c>
      <c r="B5" s="1192" t="s">
        <v>110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</row>
    <row r="6" spans="1:16" s="828" customFormat="1" ht="15" customHeight="1">
      <c r="A6" s="829" t="s">
        <v>30</v>
      </c>
      <c r="B6" s="830" t="s">
        <v>447</v>
      </c>
      <c r="C6" s="831"/>
      <c r="D6" s="831"/>
      <c r="E6" s="831">
        <v>65680000</v>
      </c>
      <c r="F6" s="831"/>
      <c r="G6" s="831"/>
      <c r="H6" s="831">
        <v>804653</v>
      </c>
      <c r="I6" s="831"/>
      <c r="J6" s="831"/>
      <c r="K6" s="831">
        <f>65680000+162188</f>
        <v>65842188</v>
      </c>
      <c r="L6" s="831">
        <v>2049362</v>
      </c>
      <c r="M6" s="831"/>
      <c r="N6" s="831"/>
      <c r="O6" s="832">
        <f aca="true" t="shared" si="0" ref="O6:O12">SUM(C6:N6)</f>
        <v>134376203</v>
      </c>
      <c r="P6" s="828">
        <v>105070</v>
      </c>
    </row>
    <row r="7" spans="1:19" s="837" customFormat="1" ht="13.5" customHeight="1">
      <c r="A7" s="833" t="s">
        <v>10</v>
      </c>
      <c r="B7" s="834" t="s">
        <v>448</v>
      </c>
      <c r="C7" s="835">
        <v>4320535</v>
      </c>
      <c r="D7" s="835">
        <v>4320536</v>
      </c>
      <c r="E7" s="835">
        <v>4320535</v>
      </c>
      <c r="F7" s="835">
        <v>4320536</v>
      </c>
      <c r="G7" s="835">
        <v>4320535</v>
      </c>
      <c r="H7" s="835">
        <v>4320536</v>
      </c>
      <c r="I7" s="835">
        <v>4320535</v>
      </c>
      <c r="J7" s="835">
        <v>4320536</v>
      </c>
      <c r="K7" s="835">
        <f>4320535+958908</f>
        <v>5279443</v>
      </c>
      <c r="L7" s="835">
        <f>4320536+683782</f>
        <v>5004318</v>
      </c>
      <c r="M7" s="835">
        <v>4320535</v>
      </c>
      <c r="N7" s="835">
        <v>4320536</v>
      </c>
      <c r="O7" s="836">
        <f t="shared" si="0"/>
        <v>53489116</v>
      </c>
      <c r="P7" s="837">
        <v>73977</v>
      </c>
      <c r="S7" s="828"/>
    </row>
    <row r="8" spans="1:19" s="837" customFormat="1" ht="27" customHeight="1">
      <c r="A8" s="833" t="s">
        <v>11</v>
      </c>
      <c r="B8" s="838" t="s">
        <v>585</v>
      </c>
      <c r="C8" s="839">
        <f>23250002</f>
        <v>23250002</v>
      </c>
      <c r="D8" s="839">
        <f>23250003</f>
        <v>23250003</v>
      </c>
      <c r="E8" s="839">
        <v>23250003</v>
      </c>
      <c r="F8" s="839">
        <v>23250003</v>
      </c>
      <c r="G8" s="839">
        <v>23250002</v>
      </c>
      <c r="H8" s="839">
        <f>23250003+880387</f>
        <v>24130390</v>
      </c>
      <c r="I8" s="839">
        <v>23250003</v>
      </c>
      <c r="J8" s="839">
        <v>23250003</v>
      </c>
      <c r="K8" s="839">
        <f>23250002-286749-803278</f>
        <v>22159975</v>
      </c>
      <c r="L8" s="839">
        <v>23250003</v>
      </c>
      <c r="M8" s="839">
        <v>23250003</v>
      </c>
      <c r="N8" s="839">
        <v>23250003</v>
      </c>
      <c r="O8" s="836">
        <f t="shared" si="0"/>
        <v>278790393</v>
      </c>
      <c r="P8" s="837">
        <v>13700</v>
      </c>
      <c r="S8" s="828"/>
    </row>
    <row r="9" spans="1:19" s="837" customFormat="1" ht="21.75" customHeight="1">
      <c r="A9" s="833" t="s">
        <v>12</v>
      </c>
      <c r="B9" s="838" t="s">
        <v>449</v>
      </c>
      <c r="C9" s="839"/>
      <c r="D9" s="839"/>
      <c r="E9" s="839">
        <v>6000000</v>
      </c>
      <c r="F9" s="839"/>
      <c r="G9" s="839"/>
      <c r="H9" s="839"/>
      <c r="I9" s="839"/>
      <c r="J9" s="839"/>
      <c r="K9" s="839"/>
      <c r="L9" s="839">
        <v>1500000</v>
      </c>
      <c r="M9" s="839"/>
      <c r="N9" s="839"/>
      <c r="O9" s="836">
        <f t="shared" si="0"/>
        <v>7500000</v>
      </c>
      <c r="P9" s="837">
        <v>246945</v>
      </c>
      <c r="S9" s="828"/>
    </row>
    <row r="10" spans="1:16" s="837" customFormat="1" ht="23.25" customHeight="1">
      <c r="A10" s="833" t="s">
        <v>12</v>
      </c>
      <c r="B10" s="834" t="s">
        <v>450</v>
      </c>
      <c r="C10" s="835"/>
      <c r="D10" s="835"/>
      <c r="E10" s="835"/>
      <c r="F10" s="835"/>
      <c r="G10" s="835"/>
      <c r="H10" s="835">
        <v>330000</v>
      </c>
      <c r="I10" s="835"/>
      <c r="J10" s="835"/>
      <c r="K10" s="839">
        <v>4538034</v>
      </c>
      <c r="L10" s="835">
        <v>26000</v>
      </c>
      <c r="M10" s="835"/>
      <c r="N10" s="835">
        <v>30000</v>
      </c>
      <c r="O10" s="836">
        <f t="shared" si="0"/>
        <v>4924034</v>
      </c>
      <c r="P10" s="837">
        <v>118427</v>
      </c>
    </row>
    <row r="11" spans="1:16" s="837" customFormat="1" ht="23.25" customHeight="1">
      <c r="A11" s="833" t="s">
        <v>13</v>
      </c>
      <c r="B11" s="834" t="s">
        <v>451</v>
      </c>
      <c r="C11" s="835"/>
      <c r="D11" s="835"/>
      <c r="E11" s="835"/>
      <c r="F11" s="835"/>
      <c r="G11" s="835"/>
      <c r="H11" s="835">
        <v>4115</v>
      </c>
      <c r="I11" s="835"/>
      <c r="J11" s="835"/>
      <c r="K11" s="835"/>
      <c r="L11" s="835"/>
      <c r="M11" s="835"/>
      <c r="N11" s="835">
        <v>10000000</v>
      </c>
      <c r="O11" s="836">
        <f t="shared" si="0"/>
        <v>10004115</v>
      </c>
      <c r="P11" s="837">
        <v>0</v>
      </c>
    </row>
    <row r="12" spans="1:16" s="837" customFormat="1" ht="23.25" customHeight="1" thickBot="1">
      <c r="A12" s="833" t="s">
        <v>14</v>
      </c>
      <c r="B12" s="834" t="s">
        <v>452</v>
      </c>
      <c r="C12" s="835">
        <v>138566684</v>
      </c>
      <c r="D12" s="835"/>
      <c r="E12" s="835"/>
      <c r="F12" s="835"/>
      <c r="G12" s="835">
        <v>8315281</v>
      </c>
      <c r="H12" s="835"/>
      <c r="I12" s="835"/>
      <c r="J12" s="835"/>
      <c r="K12" s="835"/>
      <c r="L12" s="835"/>
      <c r="M12" s="835"/>
      <c r="N12" s="835"/>
      <c r="O12" s="836">
        <f t="shared" si="0"/>
        <v>146881965</v>
      </c>
      <c r="P12" s="837">
        <v>7592</v>
      </c>
    </row>
    <row r="13" spans="1:17" s="828" customFormat="1" ht="15.75" customHeight="1" thickBot="1">
      <c r="A13" s="833" t="s">
        <v>59</v>
      </c>
      <c r="B13" s="840" t="s">
        <v>453</v>
      </c>
      <c r="C13" s="841">
        <f aca="true" t="shared" si="1" ref="C13:O13">SUM(C6:C12)</f>
        <v>166137221</v>
      </c>
      <c r="D13" s="841">
        <f t="shared" si="1"/>
        <v>27570539</v>
      </c>
      <c r="E13" s="841">
        <f t="shared" si="1"/>
        <v>99250538</v>
      </c>
      <c r="F13" s="841">
        <f t="shared" si="1"/>
        <v>27570539</v>
      </c>
      <c r="G13" s="841">
        <f t="shared" si="1"/>
        <v>35885818</v>
      </c>
      <c r="H13" s="841">
        <f t="shared" si="1"/>
        <v>29589694</v>
      </c>
      <c r="I13" s="841">
        <f t="shared" si="1"/>
        <v>27570538</v>
      </c>
      <c r="J13" s="841">
        <f t="shared" si="1"/>
        <v>27570539</v>
      </c>
      <c r="K13" s="841">
        <f t="shared" si="1"/>
        <v>97819640</v>
      </c>
      <c r="L13" s="841">
        <f t="shared" si="1"/>
        <v>31829683</v>
      </c>
      <c r="M13" s="841">
        <f t="shared" si="1"/>
        <v>27570538</v>
      </c>
      <c r="N13" s="841">
        <f t="shared" si="1"/>
        <v>37600539</v>
      </c>
      <c r="O13" s="842">
        <f t="shared" si="1"/>
        <v>635965826</v>
      </c>
      <c r="Q13" s="828">
        <f>SUM(P6:P12)</f>
        <v>565711</v>
      </c>
    </row>
    <row r="14" spans="1:15" s="828" customFormat="1" ht="15" customHeight="1" thickBot="1">
      <c r="A14" s="833" t="s">
        <v>60</v>
      </c>
      <c r="B14" s="1192" t="s">
        <v>137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4"/>
    </row>
    <row r="15" spans="1:19" s="837" customFormat="1" ht="13.5" customHeight="1">
      <c r="A15" s="833" t="s">
        <v>434</v>
      </c>
      <c r="B15" s="838" t="s">
        <v>456</v>
      </c>
      <c r="C15" s="839">
        <f>40341683+181057</f>
        <v>40522740</v>
      </c>
      <c r="D15" s="839">
        <f>40341683</f>
        <v>40341683</v>
      </c>
      <c r="E15" s="839">
        <v>40341684</v>
      </c>
      <c r="F15" s="839">
        <v>40341683</v>
      </c>
      <c r="G15" s="839">
        <v>40341684</v>
      </c>
      <c r="H15" s="839">
        <f>40341683-181057+713253</f>
        <v>40873879</v>
      </c>
      <c r="I15" s="839">
        <v>40341684</v>
      </c>
      <c r="J15" s="839">
        <v>40341683</v>
      </c>
      <c r="K15" s="839">
        <f>40341684+4348407</f>
        <v>44690091</v>
      </c>
      <c r="L15" s="839">
        <v>40341683</v>
      </c>
      <c r="M15" s="839">
        <f>40341684+1234803</f>
        <v>41576487</v>
      </c>
      <c r="N15" s="839">
        <v>40341683</v>
      </c>
      <c r="O15" s="843">
        <f>SUM(C15:N15)</f>
        <v>490396664</v>
      </c>
      <c r="P15" s="837">
        <v>550166</v>
      </c>
      <c r="S15" s="828"/>
    </row>
    <row r="16" spans="1:16" s="837" customFormat="1" ht="27" customHeight="1">
      <c r="A16" s="833" t="s">
        <v>454</v>
      </c>
      <c r="B16" s="834" t="s">
        <v>458</v>
      </c>
      <c r="C16" s="835"/>
      <c r="D16" s="835"/>
      <c r="E16" s="835"/>
      <c r="F16" s="835">
        <v>500000</v>
      </c>
      <c r="G16" s="835">
        <f>8404181+3000000</f>
        <v>11404181</v>
      </c>
      <c r="H16" s="835">
        <v>2326220</v>
      </c>
      <c r="I16" s="835">
        <v>2000000</v>
      </c>
      <c r="J16" s="835">
        <v>1000000</v>
      </c>
      <c r="K16" s="835">
        <f>7000000+49787832</f>
        <v>56787832</v>
      </c>
      <c r="L16" s="835">
        <f>856000+1524000</f>
        <v>2380000</v>
      </c>
      <c r="M16" s="835">
        <f>10000000+698188</f>
        <v>10698188</v>
      </c>
      <c r="N16" s="835"/>
      <c r="O16" s="836">
        <f>SUM(C16:N16)</f>
        <v>87096421</v>
      </c>
      <c r="P16" s="837">
        <v>124458</v>
      </c>
    </row>
    <row r="17" spans="1:19" s="837" customFormat="1" ht="13.5" customHeight="1">
      <c r="A17" s="833" t="s">
        <v>455</v>
      </c>
      <c r="B17" s="834" t="s">
        <v>460</v>
      </c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>
        <f>19959710+22875</f>
        <v>19982585</v>
      </c>
      <c r="O17" s="836">
        <f>SUM(C17:N17)</f>
        <v>19982585</v>
      </c>
      <c r="P17" s="837">
        <v>0</v>
      </c>
      <c r="S17" s="828"/>
    </row>
    <row r="18" spans="1:16" s="837" customFormat="1" ht="13.5" customHeight="1" thickBot="1">
      <c r="A18" s="833" t="s">
        <v>457</v>
      </c>
      <c r="B18" s="834" t="s">
        <v>462</v>
      </c>
      <c r="C18" s="835">
        <v>37734221</v>
      </c>
      <c r="D18" s="835"/>
      <c r="E18" s="835"/>
      <c r="F18" s="835"/>
      <c r="G18" s="835"/>
      <c r="H18" s="835"/>
      <c r="I18" s="835"/>
      <c r="J18" s="835"/>
      <c r="K18" s="835"/>
      <c r="L18" s="835"/>
      <c r="M18" s="835"/>
      <c r="N18" s="835">
        <v>755935</v>
      </c>
      <c r="O18" s="836">
        <f>SUM(C18:N18)</f>
        <v>38490156</v>
      </c>
      <c r="P18" s="837">
        <v>47140</v>
      </c>
    </row>
    <row r="19" spans="1:17" s="828" customFormat="1" ht="15.75" customHeight="1" thickBot="1">
      <c r="A19" s="833" t="s">
        <v>459</v>
      </c>
      <c r="B19" s="840" t="s">
        <v>463</v>
      </c>
      <c r="C19" s="841">
        <f aca="true" t="shared" si="2" ref="C19:O19">SUM(C15:C18)</f>
        <v>78256961</v>
      </c>
      <c r="D19" s="841">
        <f t="shared" si="2"/>
        <v>40341683</v>
      </c>
      <c r="E19" s="841">
        <f t="shared" si="2"/>
        <v>40341684</v>
      </c>
      <c r="F19" s="841">
        <f t="shared" si="2"/>
        <v>40841683</v>
      </c>
      <c r="G19" s="841">
        <f t="shared" si="2"/>
        <v>51745865</v>
      </c>
      <c r="H19" s="841">
        <f t="shared" si="2"/>
        <v>43200099</v>
      </c>
      <c r="I19" s="841">
        <f t="shared" si="2"/>
        <v>42341684</v>
      </c>
      <c r="J19" s="841">
        <f t="shared" si="2"/>
        <v>41341683</v>
      </c>
      <c r="K19" s="841">
        <f t="shared" si="2"/>
        <v>101477923</v>
      </c>
      <c r="L19" s="841">
        <f t="shared" si="2"/>
        <v>42721683</v>
      </c>
      <c r="M19" s="841">
        <f t="shared" si="2"/>
        <v>52274675</v>
      </c>
      <c r="N19" s="841">
        <f t="shared" si="2"/>
        <v>61080203</v>
      </c>
      <c r="O19" s="842">
        <f t="shared" si="2"/>
        <v>635965826</v>
      </c>
      <c r="Q19" s="828">
        <f>SUM(P15:P18)</f>
        <v>721764</v>
      </c>
    </row>
    <row r="20" spans="1:15" ht="16.5" thickBot="1">
      <c r="A20" s="833" t="s">
        <v>461</v>
      </c>
      <c r="B20" s="844" t="s">
        <v>464</v>
      </c>
      <c r="C20" s="845">
        <f>C13-C19</f>
        <v>87880260</v>
      </c>
      <c r="D20" s="845">
        <f>C13+D13-C19-D19</f>
        <v>75109116</v>
      </c>
      <c r="E20" s="845">
        <f>C13+D13+E13-C19-D19-E19</f>
        <v>134017970</v>
      </c>
      <c r="F20" s="845">
        <f>C13+D13+E13+F13-C19-D19-E19-F19</f>
        <v>120746826</v>
      </c>
      <c r="G20" s="845">
        <f>(SUM(C13:G13))-(SUM(C19:G19))</f>
        <v>104886779</v>
      </c>
      <c r="H20" s="845">
        <f>(SUM(C13:H13))-(SUM(C19:H19))</f>
        <v>91276374</v>
      </c>
      <c r="I20" s="845">
        <f>(SUM(C13:I13))-(SUM(C19:I19))</f>
        <v>76505228</v>
      </c>
      <c r="J20" s="845">
        <f>(SUM(C13:J13))-(SUM(C19:J19))</f>
        <v>62734084</v>
      </c>
      <c r="K20" s="845">
        <f>(SUM(C13:K13))-(SUM(C19:K19))</f>
        <v>59075801</v>
      </c>
      <c r="L20" s="845">
        <f>(SUM(C13:L13))-(SUM(C19:L19))</f>
        <v>48183801</v>
      </c>
      <c r="M20" s="845">
        <f>(SUM(C13:M13))-(SUM(C19:M19))</f>
        <v>23479664</v>
      </c>
      <c r="N20" s="845">
        <f>(SUM(C13:N13))-(SUM(C19:N19))</f>
        <v>0</v>
      </c>
      <c r="O20" s="846">
        <f>O13-O19</f>
        <v>0</v>
      </c>
    </row>
    <row r="21" ht="15.75">
      <c r="A21" s="847"/>
    </row>
    <row r="22" spans="2:4" ht="15.75">
      <c r="B22" s="848"/>
      <c r="C22" s="849"/>
      <c r="D22" s="849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8.57421875" style="573" customWidth="1"/>
    <col min="2" max="2" width="15.7109375" style="573" customWidth="1"/>
    <col min="3" max="3" width="13.140625" style="573" customWidth="1"/>
    <col min="4" max="4" width="13.28125" style="573" customWidth="1"/>
    <col min="5" max="5" width="13.140625" style="573" customWidth="1"/>
    <col min="6" max="6" width="13.28125" style="573" customWidth="1"/>
    <col min="7" max="10" width="9.140625" style="573" hidden="1" customWidth="1"/>
    <col min="11" max="16384" width="9.140625" style="573" customWidth="1"/>
  </cols>
  <sheetData>
    <row r="1" spans="1:4" ht="21" customHeight="1">
      <c r="A1" s="1204" t="s">
        <v>423</v>
      </c>
      <c r="B1" s="1204"/>
      <c r="C1" s="1204"/>
      <c r="D1" s="1204"/>
    </row>
    <row r="2" spans="1:4" s="574" customFormat="1" ht="51.75" customHeight="1">
      <c r="A2" s="1203" t="s">
        <v>541</v>
      </c>
      <c r="B2" s="1203"/>
      <c r="C2" s="1203"/>
      <c r="D2" s="1203"/>
    </row>
    <row r="3" spans="1:2" ht="15.75" customHeight="1" thickBot="1">
      <c r="A3" s="575"/>
      <c r="B3" s="929" t="s">
        <v>511</v>
      </c>
    </row>
    <row r="4" spans="1:10" s="577" customFormat="1" ht="24" customHeight="1" thickBot="1">
      <c r="A4" s="576" t="s">
        <v>257</v>
      </c>
      <c r="B4" s="595" t="s">
        <v>258</v>
      </c>
      <c r="C4" s="595" t="s">
        <v>230</v>
      </c>
      <c r="D4" s="595" t="s">
        <v>235</v>
      </c>
      <c r="E4" s="595" t="s">
        <v>238</v>
      </c>
      <c r="F4" s="595" t="s">
        <v>494</v>
      </c>
      <c r="G4" s="595" t="s">
        <v>238</v>
      </c>
      <c r="H4" s="595" t="s">
        <v>494</v>
      </c>
      <c r="I4" s="595" t="s">
        <v>499</v>
      </c>
      <c r="J4" s="595" t="s">
        <v>490</v>
      </c>
    </row>
    <row r="5" spans="1:10" s="579" customFormat="1" ht="21" customHeight="1">
      <c r="A5" s="578" t="s">
        <v>259</v>
      </c>
      <c r="B5" s="596">
        <v>73315221</v>
      </c>
      <c r="C5" s="596">
        <v>73315221</v>
      </c>
      <c r="D5" s="596">
        <v>73315221</v>
      </c>
      <c r="E5" s="596">
        <v>73315221</v>
      </c>
      <c r="F5" s="596">
        <v>73315221</v>
      </c>
      <c r="G5" s="596"/>
      <c r="H5" s="596"/>
      <c r="I5" s="596"/>
      <c r="J5" s="883" t="e">
        <f>H5/G5</f>
        <v>#DIV/0!</v>
      </c>
    </row>
    <row r="6" spans="1:10" s="579" customFormat="1" ht="21" customHeight="1">
      <c r="A6" s="580" t="s">
        <v>260</v>
      </c>
      <c r="B6" s="597">
        <v>0</v>
      </c>
      <c r="C6" s="597">
        <v>0</v>
      </c>
      <c r="D6" s="597">
        <v>0</v>
      </c>
      <c r="E6" s="597">
        <v>0</v>
      </c>
      <c r="F6" s="597">
        <v>0</v>
      </c>
      <c r="G6" s="597">
        <v>0</v>
      </c>
      <c r="H6" s="597">
        <v>0</v>
      </c>
      <c r="I6" s="597">
        <v>0</v>
      </c>
      <c r="J6" s="1195"/>
    </row>
    <row r="7" spans="1:10" s="579" customFormat="1" ht="21" customHeight="1">
      <c r="A7" s="580" t="s">
        <v>261</v>
      </c>
      <c r="B7" s="597">
        <v>0</v>
      </c>
      <c r="C7" s="597">
        <v>0</v>
      </c>
      <c r="D7" s="597">
        <v>0</v>
      </c>
      <c r="E7" s="597">
        <v>0</v>
      </c>
      <c r="F7" s="597">
        <v>0</v>
      </c>
      <c r="G7" s="597">
        <v>0</v>
      </c>
      <c r="H7" s="597">
        <v>0</v>
      </c>
      <c r="I7" s="597">
        <v>0</v>
      </c>
      <c r="J7" s="1196"/>
    </row>
    <row r="8" spans="1:10" s="579" customFormat="1" ht="21" customHeight="1">
      <c r="A8" s="580" t="s">
        <v>262</v>
      </c>
      <c r="B8" s="597">
        <v>0</v>
      </c>
      <c r="C8" s="597">
        <v>0</v>
      </c>
      <c r="D8" s="597">
        <v>0</v>
      </c>
      <c r="E8" s="597">
        <v>0</v>
      </c>
      <c r="F8" s="597">
        <v>0</v>
      </c>
      <c r="G8" s="597">
        <v>0</v>
      </c>
      <c r="H8" s="597">
        <v>0</v>
      </c>
      <c r="I8" s="597">
        <v>0</v>
      </c>
      <c r="J8" s="1196"/>
    </row>
    <row r="9" spans="1:10" s="579" customFormat="1" ht="21" customHeight="1">
      <c r="A9" s="581" t="s">
        <v>263</v>
      </c>
      <c r="B9" s="597">
        <v>0</v>
      </c>
      <c r="C9" s="597">
        <v>0</v>
      </c>
      <c r="D9" s="597">
        <v>0</v>
      </c>
      <c r="E9" s="597">
        <v>0</v>
      </c>
      <c r="F9" s="597">
        <v>0</v>
      </c>
      <c r="G9" s="597">
        <v>0</v>
      </c>
      <c r="H9" s="597">
        <v>0</v>
      </c>
      <c r="I9" s="597">
        <v>0</v>
      </c>
      <c r="J9" s="1196"/>
    </row>
    <row r="10" spans="1:10" s="579" customFormat="1" ht="21" customHeight="1">
      <c r="A10" s="578" t="s">
        <v>264</v>
      </c>
      <c r="B10" s="598">
        <f aca="true" t="shared" si="0" ref="B10:I10">SUM(B6:B9)</f>
        <v>0</v>
      </c>
      <c r="C10" s="598">
        <f t="shared" si="0"/>
        <v>0</v>
      </c>
      <c r="D10" s="598">
        <f t="shared" si="0"/>
        <v>0</v>
      </c>
      <c r="E10" s="598">
        <f t="shared" si="0"/>
        <v>0</v>
      </c>
      <c r="F10" s="598">
        <f>SUM(F6:F9)</f>
        <v>0</v>
      </c>
      <c r="G10" s="598">
        <f t="shared" si="0"/>
        <v>0</v>
      </c>
      <c r="H10" s="598">
        <f t="shared" si="0"/>
        <v>0</v>
      </c>
      <c r="I10" s="598">
        <f t="shared" si="0"/>
        <v>0</v>
      </c>
      <c r="J10" s="1196"/>
    </row>
    <row r="11" spans="1:10" s="579" customFormat="1" ht="21" customHeight="1" hidden="1">
      <c r="A11" s="582" t="s">
        <v>265</v>
      </c>
      <c r="B11" s="598"/>
      <c r="C11" s="598"/>
      <c r="D11" s="598"/>
      <c r="E11" s="598"/>
      <c r="F11" s="598"/>
      <c r="G11" s="598"/>
      <c r="H11" s="598"/>
      <c r="I11" s="598"/>
      <c r="J11" s="1196"/>
    </row>
    <row r="12" spans="1:10" s="579" customFormat="1" ht="21" customHeight="1">
      <c r="A12" s="578" t="s">
        <v>351</v>
      </c>
      <c r="B12" s="598">
        <v>0</v>
      </c>
      <c r="C12" s="598">
        <v>0</v>
      </c>
      <c r="D12" s="598">
        <v>0</v>
      </c>
      <c r="E12" s="598">
        <v>0</v>
      </c>
      <c r="F12" s="598">
        <v>0</v>
      </c>
      <c r="G12" s="598">
        <v>0</v>
      </c>
      <c r="H12" s="598">
        <v>0</v>
      </c>
      <c r="I12" s="598">
        <v>0</v>
      </c>
      <c r="J12" s="1196"/>
    </row>
    <row r="13" spans="1:10" s="579" customFormat="1" ht="21" customHeight="1" hidden="1" thickBot="1">
      <c r="A13" s="578" t="s">
        <v>269</v>
      </c>
      <c r="B13" s="631">
        <v>0</v>
      </c>
      <c r="C13" s="631">
        <v>0</v>
      </c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1197"/>
    </row>
    <row r="14" spans="1:10" s="579" customFormat="1" ht="21" customHeight="1" thickBot="1">
      <c r="A14" s="923" t="s">
        <v>478</v>
      </c>
      <c r="B14" s="859">
        <v>559943</v>
      </c>
      <c r="C14" s="859">
        <v>559943</v>
      </c>
      <c r="D14" s="859">
        <v>559943</v>
      </c>
      <c r="E14" s="859">
        <v>559943</v>
      </c>
      <c r="F14" s="859">
        <v>559943</v>
      </c>
      <c r="G14" s="859"/>
      <c r="H14" s="859"/>
      <c r="I14" s="859"/>
      <c r="J14" s="884" t="e">
        <f>H14/G14</f>
        <v>#DIV/0!</v>
      </c>
    </row>
    <row r="15" spans="1:10" s="585" customFormat="1" ht="24.75" customHeight="1" thickBot="1">
      <c r="A15" s="584" t="s">
        <v>350</v>
      </c>
      <c r="B15" s="599">
        <f aca="true" t="shared" si="1" ref="B15:I15">B5+B10-B11+B12+B13+B14</f>
        <v>73875164</v>
      </c>
      <c r="C15" s="599">
        <f t="shared" si="1"/>
        <v>73875164</v>
      </c>
      <c r="D15" s="599">
        <f t="shared" si="1"/>
        <v>73875164</v>
      </c>
      <c r="E15" s="599">
        <f t="shared" si="1"/>
        <v>73875164</v>
      </c>
      <c r="F15" s="599">
        <f>F5+F10-F11+F12+F13+F14</f>
        <v>73875164</v>
      </c>
      <c r="G15" s="599">
        <f t="shared" si="1"/>
        <v>0</v>
      </c>
      <c r="H15" s="599">
        <f t="shared" si="1"/>
        <v>0</v>
      </c>
      <c r="I15" s="599">
        <f t="shared" si="1"/>
        <v>0</v>
      </c>
      <c r="J15" s="885" t="e">
        <f>H15/G15</f>
        <v>#DIV/0!</v>
      </c>
    </row>
    <row r="16" spans="1:10" ht="24.75" customHeight="1">
      <c r="A16" s="586" t="s">
        <v>266</v>
      </c>
      <c r="B16" s="596">
        <v>32185000</v>
      </c>
      <c r="C16" s="596">
        <v>32185000</v>
      </c>
      <c r="D16" s="596">
        <v>32185000</v>
      </c>
      <c r="E16" s="596">
        <v>32185000</v>
      </c>
      <c r="F16" s="596">
        <f>32185000+861600+21000</f>
        <v>33067600</v>
      </c>
      <c r="G16" s="596"/>
      <c r="H16" s="596"/>
      <c r="I16" s="596"/>
      <c r="J16" s="1198"/>
    </row>
    <row r="17" spans="1:10" ht="24.75" customHeight="1" thickBot="1">
      <c r="A17" s="582" t="s">
        <v>267</v>
      </c>
      <c r="B17" s="598">
        <v>4560000</v>
      </c>
      <c r="C17" s="598">
        <v>4560000</v>
      </c>
      <c r="D17" s="598">
        <v>4560000</v>
      </c>
      <c r="E17" s="598">
        <v>4560000</v>
      </c>
      <c r="F17" s="598">
        <f>4560000+213333</f>
        <v>4773333</v>
      </c>
      <c r="G17" s="598"/>
      <c r="H17" s="598"/>
      <c r="I17" s="598"/>
      <c r="J17" s="1199"/>
    </row>
    <row r="18" spans="1:10" s="585" customFormat="1" ht="24.75" customHeight="1" thickBot="1">
      <c r="A18" s="587" t="s">
        <v>352</v>
      </c>
      <c r="B18" s="600">
        <f aca="true" t="shared" si="2" ref="B18:I18">SUM(B16:B17)</f>
        <v>36745000</v>
      </c>
      <c r="C18" s="600">
        <f t="shared" si="2"/>
        <v>36745000</v>
      </c>
      <c r="D18" s="600">
        <f t="shared" si="2"/>
        <v>36745000</v>
      </c>
      <c r="E18" s="600">
        <f t="shared" si="2"/>
        <v>36745000</v>
      </c>
      <c r="F18" s="600">
        <f>SUM(F16:F17)</f>
        <v>37840933</v>
      </c>
      <c r="G18" s="600">
        <f t="shared" si="2"/>
        <v>0</v>
      </c>
      <c r="H18" s="600">
        <f t="shared" si="2"/>
        <v>0</v>
      </c>
      <c r="I18" s="600">
        <f t="shared" si="2"/>
        <v>0</v>
      </c>
      <c r="J18" s="886" t="e">
        <f>H18/G18</f>
        <v>#DIV/0!</v>
      </c>
    </row>
    <row r="19" spans="1:10" ht="24.75" customHeight="1">
      <c r="A19" s="588" t="s">
        <v>268</v>
      </c>
      <c r="B19" s="601">
        <v>0</v>
      </c>
      <c r="C19" s="601">
        <v>0</v>
      </c>
      <c r="D19" s="601">
        <v>0</v>
      </c>
      <c r="E19" s="601">
        <v>0</v>
      </c>
      <c r="F19" s="601">
        <v>0</v>
      </c>
      <c r="G19" s="601"/>
      <c r="H19" s="601"/>
      <c r="I19" s="601"/>
      <c r="J19" s="1200"/>
    </row>
    <row r="20" spans="1:10" ht="24.75" customHeight="1">
      <c r="A20" s="580" t="s">
        <v>532</v>
      </c>
      <c r="B20" s="602">
        <v>21000000</v>
      </c>
      <c r="C20" s="602">
        <v>21000000</v>
      </c>
      <c r="D20" s="602">
        <v>21000000</v>
      </c>
      <c r="E20" s="602">
        <v>21000000</v>
      </c>
      <c r="F20" s="602">
        <v>21000000</v>
      </c>
      <c r="G20" s="602"/>
      <c r="H20" s="602"/>
      <c r="I20" s="602"/>
      <c r="J20" s="1201"/>
    </row>
    <row r="21" spans="1:10" ht="24.75" customHeight="1" hidden="1">
      <c r="A21" s="581" t="s">
        <v>270</v>
      </c>
      <c r="B21" s="602"/>
      <c r="C21" s="602"/>
      <c r="D21" s="602"/>
      <c r="E21" s="602"/>
      <c r="F21" s="602"/>
      <c r="G21" s="602"/>
      <c r="H21" s="602"/>
      <c r="I21" s="602"/>
      <c r="J21" s="1201"/>
    </row>
    <row r="22" spans="1:10" ht="24.75" customHeight="1">
      <c r="A22" s="580" t="s">
        <v>533</v>
      </c>
      <c r="B22" s="602">
        <v>19060448</v>
      </c>
      <c r="C22" s="602">
        <v>19060448</v>
      </c>
      <c r="D22" s="602">
        <v>19060448</v>
      </c>
      <c r="E22" s="602">
        <v>19060448</v>
      </c>
      <c r="F22" s="602">
        <v>19060448</v>
      </c>
      <c r="G22" s="602"/>
      <c r="H22" s="602"/>
      <c r="I22" s="602"/>
      <c r="J22" s="1201"/>
    </row>
    <row r="23" spans="1:10" ht="24.75" customHeight="1">
      <c r="A23" s="580" t="s">
        <v>534</v>
      </c>
      <c r="B23" s="602">
        <v>48633000</v>
      </c>
      <c r="C23" s="602">
        <v>48633000</v>
      </c>
      <c r="D23" s="602">
        <v>48633000</v>
      </c>
      <c r="E23" s="602">
        <v>48633000</v>
      </c>
      <c r="F23" s="602">
        <f>48633000-3393000</f>
        <v>45240000</v>
      </c>
      <c r="G23" s="602"/>
      <c r="H23" s="602"/>
      <c r="I23" s="602"/>
      <c r="J23" s="1201"/>
    </row>
    <row r="24" spans="1:10" ht="24.75" customHeight="1">
      <c r="A24" s="581" t="s">
        <v>536</v>
      </c>
      <c r="B24" s="602">
        <v>9413820</v>
      </c>
      <c r="C24" s="602">
        <v>9413820</v>
      </c>
      <c r="D24" s="602">
        <v>9413820</v>
      </c>
      <c r="E24" s="602">
        <v>9413820</v>
      </c>
      <c r="F24" s="602">
        <v>9413820</v>
      </c>
      <c r="G24" s="602"/>
      <c r="H24" s="602"/>
      <c r="I24" s="602"/>
      <c r="J24" s="1201"/>
    </row>
    <row r="25" spans="1:10" ht="24.75" customHeight="1">
      <c r="A25" s="581" t="s">
        <v>535</v>
      </c>
      <c r="B25" s="602">
        <v>2125500</v>
      </c>
      <c r="C25" s="602">
        <v>2125500</v>
      </c>
      <c r="D25" s="602">
        <v>2125500</v>
      </c>
      <c r="E25" s="602">
        <v>2125500</v>
      </c>
      <c r="F25" s="602">
        <f>2125500-654000+436000</f>
        <v>1907500</v>
      </c>
      <c r="G25" s="602"/>
      <c r="H25" s="602"/>
      <c r="I25" s="602"/>
      <c r="J25" s="1201"/>
    </row>
    <row r="26" spans="1:10" s="589" customFormat="1" ht="24.75" customHeight="1">
      <c r="A26" s="626" t="s">
        <v>271</v>
      </c>
      <c r="B26" s="627">
        <f>SUM(B20,B22:B25)</f>
        <v>100232768</v>
      </c>
      <c r="C26" s="627">
        <f>SUM(C20,C22:C25)</f>
        <v>100232768</v>
      </c>
      <c r="D26" s="627">
        <f>SUM(D20,D22:D25)</f>
        <v>100232768</v>
      </c>
      <c r="E26" s="627">
        <f>SUM(E20,E22:E25)</f>
        <v>100232768</v>
      </c>
      <c r="F26" s="627">
        <f>SUM(F20,F22:F25)</f>
        <v>96621768</v>
      </c>
      <c r="G26" s="627">
        <f>SUM(G20,G22:G24)</f>
        <v>0</v>
      </c>
      <c r="H26" s="627">
        <f>SUM(H20,H22:H24)</f>
        <v>0</v>
      </c>
      <c r="I26" s="627">
        <f>SUM(I20,I22:I24)</f>
        <v>0</v>
      </c>
      <c r="J26" s="1201"/>
    </row>
    <row r="27" spans="1:10" s="589" customFormat="1" ht="24.75" customHeight="1">
      <c r="A27" s="628" t="s">
        <v>355</v>
      </c>
      <c r="B27" s="602">
        <v>11962560</v>
      </c>
      <c r="C27" s="602">
        <v>11962560</v>
      </c>
      <c r="D27" s="602">
        <v>11962560</v>
      </c>
      <c r="E27" s="602">
        <v>11962560</v>
      </c>
      <c r="F27" s="602">
        <v>11962560</v>
      </c>
      <c r="G27" s="602"/>
      <c r="H27" s="602"/>
      <c r="I27" s="602"/>
      <c r="J27" s="1201"/>
    </row>
    <row r="28" spans="1:10" s="589" customFormat="1" ht="24.75" customHeight="1">
      <c r="A28" s="628" t="s">
        <v>354</v>
      </c>
      <c r="B28" s="602">
        <v>2987688</v>
      </c>
      <c r="C28" s="602">
        <v>2987688</v>
      </c>
      <c r="D28" s="602">
        <v>2987688</v>
      </c>
      <c r="E28" s="602">
        <v>2987688</v>
      </c>
      <c r="F28" s="602">
        <v>2987688</v>
      </c>
      <c r="G28" s="602"/>
      <c r="H28" s="602"/>
      <c r="I28" s="602"/>
      <c r="J28" s="1201"/>
    </row>
    <row r="29" spans="1:10" s="589" customFormat="1" ht="24.75" customHeight="1">
      <c r="A29" s="924" t="s">
        <v>537</v>
      </c>
      <c r="B29" s="925">
        <v>644670</v>
      </c>
      <c r="C29" s="925">
        <v>644670</v>
      </c>
      <c r="D29" s="925">
        <v>644670</v>
      </c>
      <c r="E29" s="925">
        <v>644670</v>
      </c>
      <c r="F29" s="925">
        <f>644670-22230</f>
        <v>622440</v>
      </c>
      <c r="G29" s="925"/>
      <c r="H29" s="925"/>
      <c r="I29" s="925"/>
      <c r="J29" s="1201"/>
    </row>
    <row r="30" spans="1:10" s="589" customFormat="1" ht="24.75" customHeight="1" thickBot="1">
      <c r="A30" s="629" t="s">
        <v>353</v>
      </c>
      <c r="B30" s="630">
        <f>SUM(B27:B29)</f>
        <v>15594918</v>
      </c>
      <c r="C30" s="630">
        <f>SUM(C27:C29)</f>
        <v>15594918</v>
      </c>
      <c r="D30" s="630">
        <f>SUM(D27:D29)</f>
        <v>15594918</v>
      </c>
      <c r="E30" s="630">
        <f>SUM(E27:E29)</f>
        <v>15594918</v>
      </c>
      <c r="F30" s="630">
        <f>SUM(F27:F29)</f>
        <v>15572688</v>
      </c>
      <c r="G30" s="630">
        <f>SUM(G27:G28)</f>
        <v>0</v>
      </c>
      <c r="H30" s="630">
        <f>SUM(H27:H28)</f>
        <v>0</v>
      </c>
      <c r="I30" s="630">
        <f>SUM(I27:I28)</f>
        <v>0</v>
      </c>
      <c r="J30" s="1201"/>
    </row>
    <row r="31" spans="1:10" s="589" customFormat="1" ht="24.75" customHeight="1" thickBot="1">
      <c r="A31" s="860" t="s">
        <v>479</v>
      </c>
      <c r="B31" s="861"/>
      <c r="C31" s="861">
        <v>1608864</v>
      </c>
      <c r="D31" s="861">
        <f>1608864+2014678</f>
        <v>3623542</v>
      </c>
      <c r="E31" s="861">
        <f>1608864+2014678+1527327</f>
        <v>5150869</v>
      </c>
      <c r="F31" s="861">
        <f>1608864+2014678+1527327+1655398</f>
        <v>6806267</v>
      </c>
      <c r="G31" s="861"/>
      <c r="H31" s="861"/>
      <c r="I31" s="861"/>
      <c r="J31" s="1202"/>
    </row>
    <row r="32" spans="1:10" s="589" customFormat="1" ht="24.75" customHeight="1" thickBot="1">
      <c r="A32" s="860" t="s">
        <v>547</v>
      </c>
      <c r="B32" s="861"/>
      <c r="C32" s="861">
        <f>770255+709443</f>
        <v>1479698</v>
      </c>
      <c r="D32" s="861">
        <f>1479698+2935279</f>
        <v>4414977</v>
      </c>
      <c r="E32" s="861">
        <f>1479698+2935279+2264049</f>
        <v>6679026</v>
      </c>
      <c r="F32" s="861">
        <f>1479698+2935279+2264049+742918</f>
        <v>7421944</v>
      </c>
      <c r="G32" s="861"/>
      <c r="H32" s="861"/>
      <c r="I32" s="861"/>
      <c r="J32" s="930"/>
    </row>
    <row r="33" spans="1:10" s="590" customFormat="1" ht="24.75" customHeight="1" thickBot="1">
      <c r="A33" s="587" t="s">
        <v>356</v>
      </c>
      <c r="B33" s="600">
        <f>B19+B26+B30</f>
        <v>115827686</v>
      </c>
      <c r="C33" s="600">
        <f>C19+C26+C30+C31+C32</f>
        <v>118916248</v>
      </c>
      <c r="D33" s="600">
        <f>D19+D26+D30+D31+D32</f>
        <v>123866205</v>
      </c>
      <c r="E33" s="600">
        <f>E19+E26+E30+E31+E32</f>
        <v>127657581</v>
      </c>
      <c r="F33" s="600">
        <f>F19+F26+F30+F31+F32</f>
        <v>126422667</v>
      </c>
      <c r="G33" s="600">
        <f>G19+G26+G30+G31</f>
        <v>0</v>
      </c>
      <c r="H33" s="600">
        <f>H19+H26+H30+H31</f>
        <v>0</v>
      </c>
      <c r="I33" s="600">
        <f>I19+I26+I30+I31</f>
        <v>0</v>
      </c>
      <c r="J33" s="886" t="e">
        <f>H33/G33</f>
        <v>#DIV/0!</v>
      </c>
    </row>
    <row r="34" spans="1:10" s="589" customFormat="1" ht="24.75" customHeight="1" thickBot="1">
      <c r="A34" s="591" t="s">
        <v>357</v>
      </c>
      <c r="B34" s="603">
        <v>3056340</v>
      </c>
      <c r="C34" s="603">
        <v>3056340</v>
      </c>
      <c r="D34" s="603">
        <v>3056340</v>
      </c>
      <c r="E34" s="603">
        <v>3056340</v>
      </c>
      <c r="F34" s="603">
        <v>3056340</v>
      </c>
      <c r="G34" s="603"/>
      <c r="H34" s="603"/>
      <c r="I34" s="603"/>
      <c r="J34" s="887" t="e">
        <f>H34/G34</f>
        <v>#DIV/0!</v>
      </c>
    </row>
    <row r="35" spans="1:10" ht="24.75" customHeight="1" hidden="1">
      <c r="A35" s="582" t="s">
        <v>272</v>
      </c>
      <c r="B35" s="604"/>
      <c r="C35" s="604"/>
      <c r="D35" s="604"/>
      <c r="E35" s="604"/>
      <c r="F35" s="604"/>
      <c r="G35" s="604"/>
      <c r="H35" s="604"/>
      <c r="I35" s="604"/>
      <c r="J35" s="888"/>
    </row>
    <row r="36" spans="1:10" ht="24.75" customHeight="1" hidden="1">
      <c r="A36" s="583" t="s">
        <v>363</v>
      </c>
      <c r="B36" s="605"/>
      <c r="C36" s="605"/>
      <c r="D36" s="605"/>
      <c r="E36" s="605"/>
      <c r="F36" s="605"/>
      <c r="G36" s="605"/>
      <c r="H36" s="605"/>
      <c r="I36" s="605"/>
      <c r="J36" s="889"/>
    </row>
    <row r="37" spans="1:10" ht="24.75" customHeight="1">
      <c r="A37" s="926" t="s">
        <v>538</v>
      </c>
      <c r="B37" s="818">
        <v>2000000</v>
      </c>
      <c r="C37" s="818">
        <v>2000000</v>
      </c>
      <c r="D37" s="818">
        <v>2000000</v>
      </c>
      <c r="E37" s="818">
        <v>2000000</v>
      </c>
      <c r="F37" s="818">
        <v>2000000</v>
      </c>
      <c r="G37" s="605"/>
      <c r="H37" s="605"/>
      <c r="I37" s="605"/>
      <c r="J37" s="889"/>
    </row>
    <row r="38" spans="1:10" ht="33.75" customHeight="1">
      <c r="A38" s="927" t="s">
        <v>539</v>
      </c>
      <c r="B38" s="818">
        <v>6000000</v>
      </c>
      <c r="C38" s="818">
        <v>6000000</v>
      </c>
      <c r="D38" s="818">
        <v>6000000</v>
      </c>
      <c r="E38" s="818">
        <v>6000000</v>
      </c>
      <c r="F38" s="818">
        <v>6000000</v>
      </c>
      <c r="G38" s="605"/>
      <c r="H38" s="605"/>
      <c r="I38" s="605"/>
      <c r="J38" s="889"/>
    </row>
    <row r="39" spans="1:10" ht="24.75" customHeight="1">
      <c r="A39" s="583" t="s">
        <v>540</v>
      </c>
      <c r="B39" s="605">
        <f>SUM(B37:B38)</f>
        <v>8000000</v>
      </c>
      <c r="C39" s="605">
        <f>SUM(C37:C38)</f>
        <v>8000000</v>
      </c>
      <c r="D39" s="605">
        <f>SUM(D37:D38)</f>
        <v>8000000</v>
      </c>
      <c r="E39" s="605">
        <f>SUM(E37:E38)</f>
        <v>8000000</v>
      </c>
      <c r="F39" s="605">
        <f>SUM(F37:F38)</f>
        <v>8000000</v>
      </c>
      <c r="G39" s="605"/>
      <c r="H39" s="605"/>
      <c r="I39" s="605"/>
      <c r="J39" s="889"/>
    </row>
    <row r="40" spans="1:10" ht="24.75" customHeight="1">
      <c r="A40" s="583" t="s">
        <v>559</v>
      </c>
      <c r="B40" s="605"/>
      <c r="C40" s="605"/>
      <c r="D40" s="605">
        <v>3399025</v>
      </c>
      <c r="E40" s="605">
        <f>3399025+1782191</f>
        <v>5181216</v>
      </c>
      <c r="F40" s="605">
        <f>3399025+1782191</f>
        <v>5181216</v>
      </c>
      <c r="G40" s="605"/>
      <c r="H40" s="605"/>
      <c r="I40" s="605"/>
      <c r="J40" s="889" t="e">
        <f>H40/G40</f>
        <v>#DIV/0!</v>
      </c>
    </row>
    <row r="41" spans="1:10" ht="24.75" customHeight="1" hidden="1">
      <c r="A41" s="583" t="s">
        <v>362</v>
      </c>
      <c r="B41" s="605"/>
      <c r="C41" s="605"/>
      <c r="D41" s="605"/>
      <c r="E41" s="605"/>
      <c r="F41" s="605"/>
      <c r="G41" s="605"/>
      <c r="H41" s="605"/>
      <c r="I41" s="605"/>
      <c r="J41" s="889"/>
    </row>
    <row r="42" spans="1:10" ht="24.75" customHeight="1" hidden="1">
      <c r="A42" s="583" t="s">
        <v>361</v>
      </c>
      <c r="B42" s="605"/>
      <c r="C42" s="605"/>
      <c r="D42" s="605"/>
      <c r="E42" s="605"/>
      <c r="F42" s="605"/>
      <c r="G42" s="605"/>
      <c r="H42" s="605"/>
      <c r="I42" s="605"/>
      <c r="J42" s="889"/>
    </row>
    <row r="43" spans="1:10" ht="24.75" customHeight="1" hidden="1">
      <c r="A43" s="583" t="s">
        <v>360</v>
      </c>
      <c r="B43" s="605"/>
      <c r="C43" s="605"/>
      <c r="D43" s="605"/>
      <c r="E43" s="605"/>
      <c r="F43" s="605"/>
      <c r="G43" s="605"/>
      <c r="H43" s="605"/>
      <c r="I43" s="605"/>
      <c r="J43" s="889"/>
    </row>
    <row r="44" spans="1:10" ht="24.75" customHeight="1" hidden="1">
      <c r="A44" s="583" t="s">
        <v>364</v>
      </c>
      <c r="B44" s="605"/>
      <c r="C44" s="605"/>
      <c r="D44" s="605"/>
      <c r="E44" s="605"/>
      <c r="F44" s="605"/>
      <c r="G44" s="605"/>
      <c r="H44" s="605"/>
      <c r="I44" s="605"/>
      <c r="J44" s="889"/>
    </row>
    <row r="45" spans="1:10" ht="24.75" customHeight="1">
      <c r="A45" s="583" t="s">
        <v>493</v>
      </c>
      <c r="B45" s="605"/>
      <c r="C45" s="605"/>
      <c r="D45" s="605"/>
      <c r="E45" s="605">
        <v>133938</v>
      </c>
      <c r="F45" s="605">
        <v>133938</v>
      </c>
      <c r="G45" s="605"/>
      <c r="H45" s="605"/>
      <c r="I45" s="605"/>
      <c r="J45" s="889" t="e">
        <f>H45/G45</f>
        <v>#DIV/0!</v>
      </c>
    </row>
    <row r="46" spans="1:10" ht="24.75" customHeight="1" hidden="1">
      <c r="A46" s="583" t="s">
        <v>492</v>
      </c>
      <c r="B46" s="605"/>
      <c r="C46" s="605"/>
      <c r="D46" s="605"/>
      <c r="E46" s="605"/>
      <c r="F46" s="605"/>
      <c r="G46" s="605"/>
      <c r="H46" s="605"/>
      <c r="I46" s="605"/>
      <c r="J46" s="889" t="e">
        <f>H46/G46</f>
        <v>#DIV/0!</v>
      </c>
    </row>
    <row r="47" spans="1:10" ht="24.75" customHeight="1" hidden="1">
      <c r="A47" s="583" t="s">
        <v>496</v>
      </c>
      <c r="B47" s="605"/>
      <c r="C47" s="605"/>
      <c r="D47" s="605"/>
      <c r="E47" s="605"/>
      <c r="F47" s="605"/>
      <c r="G47" s="605"/>
      <c r="H47" s="605"/>
      <c r="I47" s="605"/>
      <c r="J47" s="889"/>
    </row>
    <row r="48" spans="1:10" ht="24.75" customHeight="1" hidden="1">
      <c r="A48" s="583" t="s">
        <v>505</v>
      </c>
      <c r="B48" s="605"/>
      <c r="C48" s="605"/>
      <c r="D48" s="605"/>
      <c r="E48" s="605"/>
      <c r="F48" s="605"/>
      <c r="G48" s="605"/>
      <c r="H48" s="605"/>
      <c r="I48" s="605"/>
      <c r="J48" s="889"/>
    </row>
    <row r="49" spans="1:10" ht="24.75" customHeight="1" hidden="1">
      <c r="A49" s="583" t="s">
        <v>504</v>
      </c>
      <c r="B49" s="605"/>
      <c r="C49" s="605"/>
      <c r="D49" s="605"/>
      <c r="E49" s="605"/>
      <c r="F49" s="605"/>
      <c r="G49" s="605"/>
      <c r="H49" s="605"/>
      <c r="I49" s="605"/>
      <c r="J49" s="889"/>
    </row>
    <row r="50" spans="1:10" s="593" customFormat="1" ht="26.25" customHeight="1" thickBot="1">
      <c r="A50" s="592" t="s">
        <v>27</v>
      </c>
      <c r="B50" s="606">
        <f>B15+B18+B33+B34+B39</f>
        <v>237504190</v>
      </c>
      <c r="C50" s="606">
        <f aca="true" t="shared" si="3" ref="C50:J50">C15+C18+C33+C34+C39</f>
        <v>240592752</v>
      </c>
      <c r="D50" s="606">
        <f>D15+D18+D33+D34+D39+D40</f>
        <v>248941734</v>
      </c>
      <c r="E50" s="606">
        <f>E15+E18+E33+E34+E39+E40+E45</f>
        <v>254649239</v>
      </c>
      <c r="F50" s="606">
        <f>F15+F18+F33+F34+F39+F40+F45</f>
        <v>254510258</v>
      </c>
      <c r="G50" s="606">
        <f t="shared" si="3"/>
        <v>0</v>
      </c>
      <c r="H50" s="606">
        <f t="shared" si="3"/>
        <v>0</v>
      </c>
      <c r="I50" s="606">
        <f t="shared" si="3"/>
        <v>0</v>
      </c>
      <c r="J50" s="606" t="e">
        <f t="shared" si="3"/>
        <v>#DIV/0!</v>
      </c>
    </row>
    <row r="51" ht="15" hidden="1">
      <c r="B51" s="928">
        <f>'3.sz.m Önk  bev.'!E33</f>
        <v>237504190</v>
      </c>
    </row>
    <row r="52" spans="1:2" ht="15" hidden="1">
      <c r="A52" s="594"/>
      <c r="B52" s="928">
        <f>B50-B51</f>
        <v>0</v>
      </c>
    </row>
    <row r="53" ht="15">
      <c r="E53" s="928"/>
    </row>
  </sheetData>
  <sheetProtection/>
  <mergeCells count="5">
    <mergeCell ref="J6:J13"/>
    <mergeCell ref="J16:J17"/>
    <mergeCell ref="J19:J31"/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17" customWidth="1"/>
    <col min="2" max="2" width="8.28125" style="311" customWidth="1"/>
    <col min="3" max="3" width="52.00390625" style="311" customWidth="1"/>
    <col min="4" max="6" width="8.28125" style="311" bestFit="1" customWidth="1"/>
    <col min="7" max="7" width="7.421875" style="311" bestFit="1" customWidth="1"/>
    <col min="8" max="8" width="8.421875" style="311" bestFit="1" customWidth="1"/>
    <col min="9" max="9" width="8.8515625" style="311" hidden="1" customWidth="1"/>
    <col min="10" max="12" width="8.28125" style="311" bestFit="1" customWidth="1"/>
    <col min="13" max="13" width="7.421875" style="311" bestFit="1" customWidth="1"/>
    <col min="14" max="14" width="8.421875" style="311" bestFit="1" customWidth="1"/>
    <col min="15" max="15" width="8.8515625" style="311" hidden="1" customWidth="1"/>
    <col min="16" max="16" width="12.421875" style="311" bestFit="1" customWidth="1"/>
    <col min="17" max="17" width="4.57421875" style="311" hidden="1" customWidth="1"/>
    <col min="18" max="18" width="0" style="311" hidden="1" customWidth="1"/>
    <col min="19" max="19" width="10.00390625" style="311" hidden="1" customWidth="1"/>
    <col min="20" max="20" width="0" style="311" hidden="1" customWidth="1"/>
    <col min="21" max="16384" width="9.140625" style="311" customWidth="1"/>
  </cols>
  <sheetData>
    <row r="1" spans="1:16" s="140" customFormat="1" ht="21" customHeight="1" hidden="1">
      <c r="A1" s="136"/>
      <c r="B1" s="137"/>
      <c r="C1" s="138"/>
      <c r="D1" s="139"/>
      <c r="E1" s="139"/>
      <c r="F1" s="139"/>
      <c r="G1" s="139"/>
      <c r="H1" s="139"/>
      <c r="I1" s="139"/>
      <c r="J1" s="1095"/>
      <c r="K1" s="1095"/>
      <c r="L1" s="1095"/>
      <c r="M1" s="1095"/>
      <c r="N1" s="1095"/>
      <c r="O1" s="1095"/>
      <c r="P1" s="1095"/>
    </row>
    <row r="2" spans="1:16" s="143" customFormat="1" ht="25.5" customHeight="1" hidden="1" thickBot="1">
      <c r="A2" s="1098"/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</row>
    <row r="3" spans="1:20" s="146" customFormat="1" ht="40.5" customHeight="1" hidden="1" thickBot="1">
      <c r="A3" s="144"/>
      <c r="B3" s="144"/>
      <c r="C3" s="144"/>
      <c r="D3" s="1105" t="s">
        <v>5</v>
      </c>
      <c r="E3" s="1106"/>
      <c r="F3" s="1106"/>
      <c r="G3" s="1106"/>
      <c r="H3" s="1106"/>
      <c r="I3" s="1107"/>
      <c r="J3" s="1105" t="s">
        <v>107</v>
      </c>
      <c r="K3" s="1106"/>
      <c r="L3" s="1106"/>
      <c r="M3" s="1106"/>
      <c r="N3" s="1106"/>
      <c r="O3" s="1107"/>
      <c r="P3" s="1205" t="s">
        <v>154</v>
      </c>
      <c r="Q3" s="1206"/>
      <c r="R3" s="1206"/>
      <c r="S3" s="1207"/>
      <c r="T3" s="511"/>
    </row>
    <row r="4" spans="1:19" ht="24.75" hidden="1" thickBot="1">
      <c r="A4" s="1096" t="s">
        <v>108</v>
      </c>
      <c r="B4" s="1097"/>
      <c r="C4" s="493" t="s">
        <v>109</v>
      </c>
      <c r="D4" s="482" t="s">
        <v>67</v>
      </c>
      <c r="E4" s="147" t="s">
        <v>231</v>
      </c>
      <c r="F4" s="147" t="s">
        <v>234</v>
      </c>
      <c r="G4" s="147" t="s">
        <v>237</v>
      </c>
      <c r="H4" s="147" t="s">
        <v>251</v>
      </c>
      <c r="I4" s="453" t="s">
        <v>240</v>
      </c>
      <c r="J4" s="482" t="s">
        <v>67</v>
      </c>
      <c r="K4" s="147" t="s">
        <v>231</v>
      </c>
      <c r="L4" s="147" t="s">
        <v>234</v>
      </c>
      <c r="M4" s="147" t="s">
        <v>237</v>
      </c>
      <c r="N4" s="147" t="s">
        <v>251</v>
      </c>
      <c r="O4" s="453" t="s">
        <v>240</v>
      </c>
      <c r="P4" s="482" t="s">
        <v>252</v>
      </c>
      <c r="Q4" s="147" t="s">
        <v>248</v>
      </c>
      <c r="R4" s="147" t="s">
        <v>234</v>
      </c>
      <c r="S4" s="453" t="s">
        <v>234</v>
      </c>
    </row>
    <row r="5" spans="1:19" s="152" customFormat="1" ht="12.75" customHeight="1" hidden="1" thickBot="1">
      <c r="A5" s="149">
        <v>1</v>
      </c>
      <c r="B5" s="150">
        <v>2</v>
      </c>
      <c r="C5" s="297">
        <v>3</v>
      </c>
      <c r="D5" s="149"/>
      <c r="E5" s="150"/>
      <c r="F5" s="150"/>
      <c r="G5" s="150"/>
      <c r="H5" s="150"/>
      <c r="I5" s="151"/>
      <c r="J5" s="149"/>
      <c r="K5" s="150"/>
      <c r="L5" s="150"/>
      <c r="M5" s="150"/>
      <c r="N5" s="150"/>
      <c r="O5" s="151"/>
      <c r="P5" s="149"/>
      <c r="Q5" s="150"/>
      <c r="R5" s="150"/>
      <c r="S5" s="151"/>
    </row>
    <row r="6" spans="1:19" s="152" customFormat="1" ht="15.75" customHeight="1" hidden="1" thickBot="1">
      <c r="A6" s="153"/>
      <c r="B6" s="154"/>
      <c r="C6" s="154" t="s">
        <v>110</v>
      </c>
      <c r="D6" s="459"/>
      <c r="E6" s="217"/>
      <c r="F6" s="217"/>
      <c r="G6" s="217"/>
      <c r="H6" s="217"/>
      <c r="I6" s="281"/>
      <c r="J6" s="459"/>
      <c r="K6" s="217"/>
      <c r="L6" s="217"/>
      <c r="M6" s="217"/>
      <c r="N6" s="217"/>
      <c r="O6" s="281"/>
      <c r="P6" s="459"/>
      <c r="Q6" s="217"/>
      <c r="R6" s="217"/>
      <c r="S6" s="281"/>
    </row>
    <row r="7" spans="1:19" s="158" customFormat="1" ht="12" customHeight="1" hidden="1" thickBot="1">
      <c r="A7" s="149" t="s">
        <v>29</v>
      </c>
      <c r="B7" s="155"/>
      <c r="C7" s="494" t="s">
        <v>111</v>
      </c>
      <c r="D7" s="460"/>
      <c r="E7" s="218"/>
      <c r="F7" s="218"/>
      <c r="G7" s="218"/>
      <c r="H7" s="520"/>
      <c r="I7" s="376"/>
      <c r="J7" s="460"/>
      <c r="K7" s="218"/>
      <c r="L7" s="218"/>
      <c r="M7" s="218"/>
      <c r="N7" s="520"/>
      <c r="O7" s="376"/>
      <c r="P7" s="460"/>
      <c r="Q7" s="218"/>
      <c r="R7" s="218"/>
      <c r="S7" s="157"/>
    </row>
    <row r="8" spans="1:19" s="158" customFormat="1" ht="12" customHeight="1" hidden="1" thickBot="1">
      <c r="A8" s="149" t="s">
        <v>10</v>
      </c>
      <c r="B8" s="155"/>
      <c r="C8" s="494" t="s">
        <v>117</v>
      </c>
      <c r="D8" s="460">
        <f aca="true" t="shared" si="0" ref="D8:M8">SUM(D9:D12)</f>
        <v>0</v>
      </c>
      <c r="E8" s="218">
        <f t="shared" si="0"/>
        <v>0</v>
      </c>
      <c r="F8" s="218">
        <f t="shared" si="0"/>
        <v>0</v>
      </c>
      <c r="G8" s="218">
        <f>SUM(G9:G12)</f>
        <v>0</v>
      </c>
      <c r="H8" s="520">
        <f>SUM(H9:H12)</f>
        <v>0</v>
      </c>
      <c r="I8" s="376"/>
      <c r="J8" s="460">
        <f t="shared" si="0"/>
        <v>0</v>
      </c>
      <c r="K8" s="218">
        <f t="shared" si="0"/>
        <v>0</v>
      </c>
      <c r="L8" s="218">
        <f t="shared" si="0"/>
        <v>0</v>
      </c>
      <c r="M8" s="218">
        <f t="shared" si="0"/>
        <v>0</v>
      </c>
      <c r="N8" s="520" t="s">
        <v>253</v>
      </c>
      <c r="O8" s="376"/>
      <c r="P8" s="460"/>
      <c r="Q8" s="218"/>
      <c r="R8" s="218"/>
      <c r="S8" s="157"/>
    </row>
    <row r="9" spans="1:19" s="164" customFormat="1" ht="12" customHeight="1" hidden="1">
      <c r="A9" s="161"/>
      <c r="B9" s="160" t="s">
        <v>118</v>
      </c>
      <c r="C9" s="472" t="s">
        <v>74</v>
      </c>
      <c r="D9" s="462"/>
      <c r="E9" s="219"/>
      <c r="F9" s="219"/>
      <c r="G9" s="219"/>
      <c r="H9" s="521"/>
      <c r="I9" s="481"/>
      <c r="J9" s="462"/>
      <c r="K9" s="219"/>
      <c r="L9" s="219"/>
      <c r="M9" s="219"/>
      <c r="N9" s="521"/>
      <c r="O9" s="481"/>
      <c r="P9" s="462"/>
      <c r="Q9" s="219"/>
      <c r="R9" s="219"/>
      <c r="S9" s="163"/>
    </row>
    <row r="10" spans="1:19" s="164" customFormat="1" ht="12" customHeight="1" hidden="1">
      <c r="A10" s="161"/>
      <c r="B10" s="160" t="s">
        <v>119</v>
      </c>
      <c r="C10" s="473" t="s">
        <v>120</v>
      </c>
      <c r="D10" s="462"/>
      <c r="E10" s="219"/>
      <c r="F10" s="219"/>
      <c r="G10" s="219"/>
      <c r="H10" s="521"/>
      <c r="I10" s="506"/>
      <c r="J10" s="462"/>
      <c r="K10" s="219"/>
      <c r="L10" s="219"/>
      <c r="M10" s="219"/>
      <c r="N10" s="521"/>
      <c r="O10" s="506"/>
      <c r="P10" s="462"/>
      <c r="Q10" s="219"/>
      <c r="R10" s="219"/>
      <c r="S10" s="163"/>
    </row>
    <row r="11" spans="1:19" s="164" customFormat="1" ht="12" customHeight="1" hidden="1">
      <c r="A11" s="161"/>
      <c r="B11" s="160" t="s">
        <v>121</v>
      </c>
      <c r="C11" s="473" t="s">
        <v>75</v>
      </c>
      <c r="D11" s="462"/>
      <c r="E11" s="219"/>
      <c r="F11" s="219"/>
      <c r="G11" s="219"/>
      <c r="H11" s="521"/>
      <c r="I11" s="506"/>
      <c r="J11" s="462"/>
      <c r="K11" s="219"/>
      <c r="L11" s="219"/>
      <c r="M11" s="219"/>
      <c r="N11" s="521"/>
      <c r="O11" s="506"/>
      <c r="P11" s="462"/>
      <c r="Q11" s="219"/>
      <c r="R11" s="219"/>
      <c r="S11" s="163"/>
    </row>
    <row r="12" spans="1:19" s="164" customFormat="1" ht="12" customHeight="1" hidden="1" thickBot="1">
      <c r="A12" s="161"/>
      <c r="B12" s="160" t="s">
        <v>122</v>
      </c>
      <c r="C12" s="473" t="s">
        <v>120</v>
      </c>
      <c r="D12" s="462"/>
      <c r="E12" s="219"/>
      <c r="F12" s="219"/>
      <c r="G12" s="219"/>
      <c r="H12" s="521"/>
      <c r="I12" s="512"/>
      <c r="J12" s="462"/>
      <c r="K12" s="219"/>
      <c r="L12" s="219"/>
      <c r="M12" s="219"/>
      <c r="N12" s="521"/>
      <c r="O12" s="512"/>
      <c r="P12" s="462"/>
      <c r="Q12" s="219"/>
      <c r="R12" s="219"/>
      <c r="S12" s="163"/>
    </row>
    <row r="13" spans="1:19" s="164" customFormat="1" ht="12" customHeight="1" hidden="1" thickBot="1">
      <c r="A13" s="167" t="s">
        <v>11</v>
      </c>
      <c r="B13" s="168"/>
      <c r="C13" s="471" t="s">
        <v>123</v>
      </c>
      <c r="D13" s="460">
        <f aca="true" t="shared" si="1" ref="D13:M13">SUM(D14:D15)</f>
        <v>0</v>
      </c>
      <c r="E13" s="218">
        <f t="shared" si="1"/>
        <v>0</v>
      </c>
      <c r="F13" s="218">
        <f t="shared" si="1"/>
        <v>0</v>
      </c>
      <c r="G13" s="218">
        <f>SUM(G14:G15)</f>
        <v>0</v>
      </c>
      <c r="H13" s="520"/>
      <c r="I13" s="376"/>
      <c r="J13" s="460">
        <f t="shared" si="1"/>
        <v>0</v>
      </c>
      <c r="K13" s="218">
        <f t="shared" si="1"/>
        <v>0</v>
      </c>
      <c r="L13" s="218">
        <f t="shared" si="1"/>
        <v>0</v>
      </c>
      <c r="M13" s="218">
        <f t="shared" si="1"/>
        <v>0</v>
      </c>
      <c r="N13" s="520"/>
      <c r="O13" s="376"/>
      <c r="P13" s="460"/>
      <c r="Q13" s="218"/>
      <c r="R13" s="218"/>
      <c r="S13" s="157"/>
    </row>
    <row r="14" spans="1:19" s="158" customFormat="1" ht="12" customHeight="1" hidden="1">
      <c r="A14" s="169"/>
      <c r="B14" s="170" t="s">
        <v>124</v>
      </c>
      <c r="C14" s="495" t="s">
        <v>125</v>
      </c>
      <c r="D14" s="463"/>
      <c r="E14" s="220"/>
      <c r="F14" s="220"/>
      <c r="G14" s="220"/>
      <c r="H14" s="522"/>
      <c r="I14" s="481"/>
      <c r="J14" s="463"/>
      <c r="K14" s="220"/>
      <c r="L14" s="220"/>
      <c r="M14" s="220"/>
      <c r="N14" s="522"/>
      <c r="O14" s="481"/>
      <c r="P14" s="463"/>
      <c r="Q14" s="220"/>
      <c r="R14" s="220"/>
      <c r="S14" s="172"/>
    </row>
    <row r="15" spans="1:19" s="158" customFormat="1" ht="12" customHeight="1" hidden="1" thickBot="1">
      <c r="A15" s="173"/>
      <c r="B15" s="174" t="s">
        <v>126</v>
      </c>
      <c r="C15" s="496" t="s">
        <v>127</v>
      </c>
      <c r="D15" s="464"/>
      <c r="E15" s="221"/>
      <c r="F15" s="221"/>
      <c r="G15" s="221"/>
      <c r="H15" s="523"/>
      <c r="I15" s="512"/>
      <c r="J15" s="464"/>
      <c r="K15" s="221"/>
      <c r="L15" s="221"/>
      <c r="M15" s="221"/>
      <c r="N15" s="523"/>
      <c r="O15" s="512"/>
      <c r="P15" s="464"/>
      <c r="Q15" s="221"/>
      <c r="R15" s="221"/>
      <c r="S15" s="176"/>
    </row>
    <row r="16" spans="1:19" s="158" customFormat="1" ht="12" customHeight="1" hidden="1" thickBot="1">
      <c r="A16" s="167" t="s">
        <v>12</v>
      </c>
      <c r="B16" s="155"/>
      <c r="C16" s="471" t="s">
        <v>128</v>
      </c>
      <c r="D16" s="465"/>
      <c r="E16" s="222"/>
      <c r="F16" s="222"/>
      <c r="G16" s="222"/>
      <c r="H16" s="524"/>
      <c r="I16" s="376"/>
      <c r="J16" s="465"/>
      <c r="K16" s="222"/>
      <c r="L16" s="222"/>
      <c r="M16" s="222"/>
      <c r="N16" s="524" t="s">
        <v>253</v>
      </c>
      <c r="O16" s="376"/>
      <c r="P16" s="465"/>
      <c r="Q16" s="222"/>
      <c r="R16" s="222"/>
      <c r="S16" s="177"/>
    </row>
    <row r="17" spans="1:19" s="158" customFormat="1" ht="12" customHeight="1" hidden="1" thickBot="1">
      <c r="A17" s="149" t="s">
        <v>13</v>
      </c>
      <c r="B17" s="178"/>
      <c r="C17" s="471" t="s">
        <v>129</v>
      </c>
      <c r="D17" s="460">
        <f aca="true" t="shared" si="2" ref="D17:M17">D7+D8+D13+D16</f>
        <v>0</v>
      </c>
      <c r="E17" s="218">
        <f t="shared" si="2"/>
        <v>0</v>
      </c>
      <c r="F17" s="218">
        <f t="shared" si="2"/>
        <v>0</v>
      </c>
      <c r="G17" s="218">
        <f t="shared" si="2"/>
        <v>0</v>
      </c>
      <c r="H17" s="520" t="s">
        <v>253</v>
      </c>
      <c r="I17" s="376"/>
      <c r="J17" s="460">
        <f t="shared" si="2"/>
        <v>0</v>
      </c>
      <c r="K17" s="218">
        <f t="shared" si="2"/>
        <v>0</v>
      </c>
      <c r="L17" s="218">
        <f t="shared" si="2"/>
        <v>0</v>
      </c>
      <c r="M17" s="218">
        <f t="shared" si="2"/>
        <v>0</v>
      </c>
      <c r="N17" s="520" t="s">
        <v>253</v>
      </c>
      <c r="O17" s="376"/>
      <c r="P17" s="460"/>
      <c r="Q17" s="218"/>
      <c r="R17" s="218"/>
      <c r="S17" s="157"/>
    </row>
    <row r="18" spans="1:19" s="164" customFormat="1" ht="12" customHeight="1" hidden="1" thickBot="1">
      <c r="A18" s="179" t="s">
        <v>14</v>
      </c>
      <c r="B18" s="180"/>
      <c r="C18" s="497" t="s">
        <v>130</v>
      </c>
      <c r="D18" s="466">
        <f aca="true" t="shared" si="3" ref="D18:M18">SUM(D19:D20)</f>
        <v>0</v>
      </c>
      <c r="E18" s="223">
        <f t="shared" si="3"/>
        <v>0</v>
      </c>
      <c r="F18" s="223">
        <f t="shared" si="3"/>
        <v>0</v>
      </c>
      <c r="G18" s="223">
        <f>SUM(G19:G20)</f>
        <v>0</v>
      </c>
      <c r="H18" s="525" t="s">
        <v>253</v>
      </c>
      <c r="I18" s="376"/>
      <c r="J18" s="466">
        <f t="shared" si="3"/>
        <v>0</v>
      </c>
      <c r="K18" s="223">
        <f t="shared" si="3"/>
        <v>0</v>
      </c>
      <c r="L18" s="223">
        <f t="shared" si="3"/>
        <v>0</v>
      </c>
      <c r="M18" s="223">
        <f t="shared" si="3"/>
        <v>0</v>
      </c>
      <c r="N18" s="525" t="s">
        <v>253</v>
      </c>
      <c r="O18" s="376"/>
      <c r="P18" s="460"/>
      <c r="Q18" s="218"/>
      <c r="R18" s="218"/>
      <c r="S18" s="157"/>
    </row>
    <row r="19" spans="1:19" s="164" customFormat="1" ht="15" customHeight="1" hidden="1">
      <c r="A19" s="159"/>
      <c r="B19" s="182" t="s">
        <v>131</v>
      </c>
      <c r="C19" s="495" t="s">
        <v>132</v>
      </c>
      <c r="D19" s="463"/>
      <c r="E19" s="220"/>
      <c r="F19" s="220"/>
      <c r="G19" s="220"/>
      <c r="H19" s="522"/>
      <c r="I19" s="481"/>
      <c r="J19" s="463"/>
      <c r="K19" s="220"/>
      <c r="L19" s="220"/>
      <c r="M19" s="220"/>
      <c r="N19" s="522" t="s">
        <v>253</v>
      </c>
      <c r="O19" s="481"/>
      <c r="P19" s="469"/>
      <c r="Q19" s="470"/>
      <c r="R19" s="470"/>
      <c r="S19" s="278"/>
    </row>
    <row r="20" spans="1:19" s="164" customFormat="1" ht="15" customHeight="1" hidden="1" thickBot="1">
      <c r="A20" s="183"/>
      <c r="B20" s="184" t="s">
        <v>133</v>
      </c>
      <c r="C20" s="498" t="s">
        <v>134</v>
      </c>
      <c r="D20" s="467"/>
      <c r="E20" s="224"/>
      <c r="F20" s="224"/>
      <c r="G20" s="224"/>
      <c r="H20" s="526"/>
      <c r="I20" s="512"/>
      <c r="J20" s="467"/>
      <c r="K20" s="224"/>
      <c r="L20" s="224"/>
      <c r="M20" s="224"/>
      <c r="N20" s="526"/>
      <c r="O20" s="512"/>
      <c r="P20" s="467"/>
      <c r="Q20" s="224"/>
      <c r="R20" s="224"/>
      <c r="S20" s="186"/>
    </row>
    <row r="21" spans="1:19" ht="13.5" hidden="1" thickBot="1">
      <c r="A21" s="187" t="s">
        <v>59</v>
      </c>
      <c r="B21" s="312"/>
      <c r="C21" s="475" t="s">
        <v>135</v>
      </c>
      <c r="D21" s="465"/>
      <c r="E21" s="222"/>
      <c r="F21" s="222"/>
      <c r="G21" s="222"/>
      <c r="H21" s="524"/>
      <c r="I21" s="376"/>
      <c r="J21" s="465"/>
      <c r="K21" s="222"/>
      <c r="L21" s="222"/>
      <c r="M21" s="222"/>
      <c r="N21" s="524"/>
      <c r="O21" s="376"/>
      <c r="P21" s="465"/>
      <c r="Q21" s="222"/>
      <c r="R21" s="222"/>
      <c r="S21" s="177"/>
    </row>
    <row r="22" spans="1:19" s="152" customFormat="1" ht="16.5" customHeight="1" hidden="1" thickBot="1">
      <c r="A22" s="187" t="s">
        <v>60</v>
      </c>
      <c r="B22" s="313"/>
      <c r="C22" s="499" t="s">
        <v>136</v>
      </c>
      <c r="D22" s="468">
        <f aca="true" t="shared" si="4" ref="D22:M22">D17+D21+D18</f>
        <v>0</v>
      </c>
      <c r="E22" s="225">
        <f t="shared" si="4"/>
        <v>0</v>
      </c>
      <c r="F22" s="225">
        <f t="shared" si="4"/>
        <v>0</v>
      </c>
      <c r="G22" s="225">
        <f t="shared" si="4"/>
        <v>0</v>
      </c>
      <c r="H22" s="527" t="s">
        <v>253</v>
      </c>
      <c r="I22" s="376"/>
      <c r="J22" s="468">
        <f t="shared" si="4"/>
        <v>0</v>
      </c>
      <c r="K22" s="225">
        <f t="shared" si="4"/>
        <v>0</v>
      </c>
      <c r="L22" s="225">
        <f t="shared" si="4"/>
        <v>0</v>
      </c>
      <c r="M22" s="225">
        <f t="shared" si="4"/>
        <v>0</v>
      </c>
      <c r="N22" s="527" t="s">
        <v>253</v>
      </c>
      <c r="O22" s="376"/>
      <c r="P22" s="468"/>
      <c r="Q22" s="225"/>
      <c r="R22" s="225"/>
      <c r="S22" s="210"/>
    </row>
    <row r="23" spans="1:19" s="196" customFormat="1" ht="12" customHeight="1" hidden="1">
      <c r="A23" s="193"/>
      <c r="B23" s="193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</row>
    <row r="24" spans="1:18" ht="12" customHeight="1" hidden="1" thickBot="1">
      <c r="A24" s="197"/>
      <c r="B24" s="198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2" customHeight="1" hidden="1" thickBot="1">
      <c r="A25" s="200"/>
      <c r="B25" s="201"/>
      <c r="C25" s="202" t="s">
        <v>137</v>
      </c>
      <c r="D25" s="216"/>
      <c r="E25" s="216"/>
      <c r="F25" s="216"/>
      <c r="G25" s="216"/>
      <c r="H25" s="216"/>
      <c r="I25" s="216"/>
      <c r="J25" s="225"/>
      <c r="K25" s="225"/>
      <c r="L25" s="216"/>
      <c r="M25" s="216"/>
      <c r="N25" s="216"/>
      <c r="O25" s="216"/>
      <c r="P25" s="192"/>
      <c r="Q25" s="192"/>
      <c r="R25" s="192"/>
      <c r="S25" s="192"/>
    </row>
    <row r="26" spans="1:19" ht="12" customHeight="1" hidden="1" thickBot="1">
      <c r="A26" s="167" t="s">
        <v>29</v>
      </c>
      <c r="B26" s="203"/>
      <c r="C26" s="471" t="s">
        <v>138</v>
      </c>
      <c r="D26" s="460">
        <f aca="true" t="shared" si="5" ref="D26:M26">SUM(D27:D31)</f>
        <v>0</v>
      </c>
      <c r="E26" s="218">
        <f t="shared" si="5"/>
        <v>0</v>
      </c>
      <c r="F26" s="218">
        <f t="shared" si="5"/>
        <v>0</v>
      </c>
      <c r="G26" s="218">
        <f>SUM(G27:G31)</f>
        <v>0</v>
      </c>
      <c r="H26" s="528" t="s">
        <v>253</v>
      </c>
      <c r="I26" s="456"/>
      <c r="J26" s="460">
        <f t="shared" si="5"/>
        <v>0</v>
      </c>
      <c r="K26" s="218">
        <f t="shared" si="5"/>
        <v>0</v>
      </c>
      <c r="L26" s="218">
        <f t="shared" si="5"/>
        <v>0</v>
      </c>
      <c r="M26" s="218">
        <f t="shared" si="5"/>
        <v>0</v>
      </c>
      <c r="N26" s="528" t="s">
        <v>253</v>
      </c>
      <c r="O26" s="456"/>
      <c r="P26" s="513"/>
      <c r="Q26" s="454"/>
      <c r="R26" s="157"/>
      <c r="S26" s="157"/>
    </row>
    <row r="27" spans="1:19" ht="12" customHeight="1" hidden="1">
      <c r="A27" s="204"/>
      <c r="B27" s="205" t="s">
        <v>112</v>
      </c>
      <c r="C27" s="472" t="s">
        <v>139</v>
      </c>
      <c r="D27" s="478"/>
      <c r="E27" s="226"/>
      <c r="F27" s="226"/>
      <c r="G27" s="226"/>
      <c r="H27" s="529"/>
      <c r="I27" s="457"/>
      <c r="J27" s="478"/>
      <c r="K27" s="226"/>
      <c r="L27" s="226"/>
      <c r="M27" s="226"/>
      <c r="N27" s="529"/>
      <c r="O27" s="457"/>
      <c r="P27" s="514"/>
      <c r="Q27" s="485"/>
      <c r="R27" s="163"/>
      <c r="S27" s="163"/>
    </row>
    <row r="28" spans="1:19" ht="12" customHeight="1" hidden="1">
      <c r="A28" s="206"/>
      <c r="B28" s="207" t="s">
        <v>113</v>
      </c>
      <c r="C28" s="473" t="s">
        <v>52</v>
      </c>
      <c r="D28" s="479"/>
      <c r="E28" s="227"/>
      <c r="F28" s="227"/>
      <c r="G28" s="227"/>
      <c r="H28" s="530"/>
      <c r="I28" s="502"/>
      <c r="J28" s="479"/>
      <c r="K28" s="227"/>
      <c r="L28" s="227"/>
      <c r="M28" s="227"/>
      <c r="N28" s="530"/>
      <c r="O28" s="502"/>
      <c r="P28" s="514"/>
      <c r="Q28" s="485"/>
      <c r="R28" s="163"/>
      <c r="S28" s="163"/>
    </row>
    <row r="29" spans="1:19" ht="12" customHeight="1" hidden="1">
      <c r="A29" s="206"/>
      <c r="B29" s="207" t="s">
        <v>114</v>
      </c>
      <c r="C29" s="473" t="s">
        <v>140</v>
      </c>
      <c r="D29" s="479"/>
      <c r="E29" s="227"/>
      <c r="F29" s="227"/>
      <c r="G29" s="227"/>
      <c r="H29" s="530"/>
      <c r="I29" s="502"/>
      <c r="J29" s="479"/>
      <c r="K29" s="227"/>
      <c r="L29" s="227"/>
      <c r="M29" s="227"/>
      <c r="N29" s="530"/>
      <c r="O29" s="502"/>
      <c r="P29" s="514"/>
      <c r="Q29" s="485"/>
      <c r="R29" s="163"/>
      <c r="S29" s="163"/>
    </row>
    <row r="30" spans="1:19" s="196" customFormat="1" ht="12" customHeight="1" hidden="1">
      <c r="A30" s="206"/>
      <c r="B30" s="207" t="s">
        <v>115</v>
      </c>
      <c r="C30" s="473" t="s">
        <v>83</v>
      </c>
      <c r="D30" s="479"/>
      <c r="E30" s="227"/>
      <c r="F30" s="227"/>
      <c r="G30" s="227"/>
      <c r="H30" s="530"/>
      <c r="I30" s="503"/>
      <c r="J30" s="479"/>
      <c r="K30" s="227"/>
      <c r="L30" s="227"/>
      <c r="M30" s="227"/>
      <c r="N30" s="530"/>
      <c r="O30" s="503"/>
      <c r="P30" s="514"/>
      <c r="Q30" s="485"/>
      <c r="R30" s="163"/>
      <c r="S30" s="163"/>
    </row>
    <row r="31" spans="1:19" ht="12" customHeight="1" hidden="1" thickBot="1">
      <c r="A31" s="206"/>
      <c r="B31" s="207" t="s">
        <v>51</v>
      </c>
      <c r="C31" s="473" t="s">
        <v>85</v>
      </c>
      <c r="D31" s="479"/>
      <c r="E31" s="227"/>
      <c r="F31" s="227"/>
      <c r="G31" s="227"/>
      <c r="H31" s="530"/>
      <c r="I31" s="504"/>
      <c r="J31" s="479"/>
      <c r="K31" s="227"/>
      <c r="L31" s="227"/>
      <c r="M31" s="227"/>
      <c r="N31" s="530"/>
      <c r="O31" s="504"/>
      <c r="P31" s="515"/>
      <c r="Q31" s="486"/>
      <c r="R31" s="208"/>
      <c r="S31" s="208"/>
    </row>
    <row r="32" spans="1:19" ht="12" customHeight="1" hidden="1" thickBot="1">
      <c r="A32" s="167" t="s">
        <v>30</v>
      </c>
      <c r="B32" s="203"/>
      <c r="C32" s="471" t="s">
        <v>141</v>
      </c>
      <c r="D32" s="460">
        <f>SUM(D33:D36)</f>
        <v>0</v>
      </c>
      <c r="E32" s="218">
        <f>SUM(E33:E36)</f>
        <v>0</v>
      </c>
      <c r="F32" s="218">
        <f>SUM(F33:F36)</f>
        <v>0</v>
      </c>
      <c r="G32" s="218">
        <f>SUM(G33:G36)</f>
        <v>0</v>
      </c>
      <c r="H32" s="528"/>
      <c r="I32" s="458"/>
      <c r="J32" s="460"/>
      <c r="K32" s="218"/>
      <c r="L32" s="218">
        <f>SUM(L33:L36)</f>
        <v>0</v>
      </c>
      <c r="M32" s="218">
        <f>SUM(M33:M36)</f>
        <v>0</v>
      </c>
      <c r="N32" s="528"/>
      <c r="O32" s="458"/>
      <c r="P32" s="513"/>
      <c r="Q32" s="454"/>
      <c r="R32" s="157"/>
      <c r="S32" s="157"/>
    </row>
    <row r="33" spans="1:19" ht="12" customHeight="1" hidden="1">
      <c r="A33" s="204"/>
      <c r="B33" s="205" t="s">
        <v>142</v>
      </c>
      <c r="C33" s="472" t="s">
        <v>95</v>
      </c>
      <c r="D33" s="478"/>
      <c r="E33" s="226"/>
      <c r="F33" s="226"/>
      <c r="G33" s="226"/>
      <c r="H33" s="529"/>
      <c r="I33" s="503"/>
      <c r="J33" s="478"/>
      <c r="K33" s="226"/>
      <c r="L33" s="226"/>
      <c r="M33" s="226"/>
      <c r="N33" s="529"/>
      <c r="O33" s="503"/>
      <c r="P33" s="514"/>
      <c r="Q33" s="485"/>
      <c r="R33" s="163"/>
      <c r="S33" s="163"/>
    </row>
    <row r="34" spans="1:19" ht="12" customHeight="1" hidden="1">
      <c r="A34" s="206"/>
      <c r="B34" s="207" t="s">
        <v>143</v>
      </c>
      <c r="C34" s="473" t="s">
        <v>96</v>
      </c>
      <c r="D34" s="479">
        <v>0</v>
      </c>
      <c r="E34" s="227">
        <v>0</v>
      </c>
      <c r="F34" s="227">
        <v>0</v>
      </c>
      <c r="G34" s="227">
        <v>0</v>
      </c>
      <c r="H34" s="530"/>
      <c r="I34" s="504"/>
      <c r="J34" s="479"/>
      <c r="K34" s="227"/>
      <c r="L34" s="227">
        <v>0</v>
      </c>
      <c r="M34" s="227">
        <v>0</v>
      </c>
      <c r="N34" s="530"/>
      <c r="O34" s="504"/>
      <c r="P34" s="515"/>
      <c r="Q34" s="486"/>
      <c r="R34" s="208"/>
      <c r="S34" s="208"/>
    </row>
    <row r="35" spans="1:19" ht="15" customHeight="1" hidden="1">
      <c r="A35" s="206"/>
      <c r="B35" s="207" t="s">
        <v>144</v>
      </c>
      <c r="C35" s="473" t="s">
        <v>145</v>
      </c>
      <c r="D35" s="479"/>
      <c r="E35" s="227"/>
      <c r="F35" s="227"/>
      <c r="G35" s="227"/>
      <c r="H35" s="530"/>
      <c r="I35" s="504"/>
      <c r="J35" s="479"/>
      <c r="K35" s="227"/>
      <c r="L35" s="227"/>
      <c r="M35" s="227"/>
      <c r="N35" s="530"/>
      <c r="O35" s="504"/>
      <c r="P35" s="515"/>
      <c r="Q35" s="486"/>
      <c r="R35" s="208"/>
      <c r="S35" s="208"/>
    </row>
    <row r="36" spans="1:19" ht="13.5" hidden="1" thickBot="1">
      <c r="A36" s="206"/>
      <c r="B36" s="207" t="s">
        <v>146</v>
      </c>
      <c r="C36" s="473" t="s">
        <v>147</v>
      </c>
      <c r="D36" s="479"/>
      <c r="E36" s="227"/>
      <c r="F36" s="227"/>
      <c r="G36" s="227"/>
      <c r="H36" s="530"/>
      <c r="I36" s="504"/>
      <c r="J36" s="479"/>
      <c r="K36" s="227"/>
      <c r="L36" s="227"/>
      <c r="M36" s="227"/>
      <c r="N36" s="530"/>
      <c r="O36" s="504"/>
      <c r="P36" s="515"/>
      <c r="Q36" s="486"/>
      <c r="R36" s="208"/>
      <c r="S36" s="208"/>
    </row>
    <row r="37" spans="1:19" ht="15" customHeight="1" hidden="1" thickBot="1">
      <c r="A37" s="167" t="s">
        <v>10</v>
      </c>
      <c r="B37" s="203"/>
      <c r="C37" s="474" t="s">
        <v>239</v>
      </c>
      <c r="D37" s="465"/>
      <c r="E37" s="222"/>
      <c r="F37" s="222"/>
      <c r="G37" s="222"/>
      <c r="H37" s="531" t="s">
        <v>253</v>
      </c>
      <c r="I37" s="456"/>
      <c r="J37" s="465"/>
      <c r="K37" s="222"/>
      <c r="L37" s="222"/>
      <c r="M37" s="222"/>
      <c r="N37" s="531" t="s">
        <v>253</v>
      </c>
      <c r="O37" s="456"/>
      <c r="P37" s="516"/>
      <c r="Q37" s="455"/>
      <c r="R37" s="177"/>
      <c r="S37" s="177"/>
    </row>
    <row r="38" spans="1:19" ht="14.25" customHeight="1" hidden="1" thickBot="1">
      <c r="A38" s="187" t="s">
        <v>11</v>
      </c>
      <c r="B38" s="312"/>
      <c r="C38" s="475" t="s">
        <v>149</v>
      </c>
      <c r="D38" s="465"/>
      <c r="E38" s="222"/>
      <c r="F38" s="222"/>
      <c r="G38" s="222"/>
      <c r="H38" s="531"/>
      <c r="I38" s="456"/>
      <c r="J38" s="465"/>
      <c r="K38" s="222"/>
      <c r="L38" s="222"/>
      <c r="M38" s="222"/>
      <c r="N38" s="531"/>
      <c r="O38" s="456"/>
      <c r="P38" s="516"/>
      <c r="Q38" s="455"/>
      <c r="R38" s="177"/>
      <c r="S38" s="177"/>
    </row>
    <row r="39" spans="1:19" ht="13.5" hidden="1" thickBot="1">
      <c r="A39" s="167" t="s">
        <v>12</v>
      </c>
      <c r="B39" s="209"/>
      <c r="C39" s="476" t="s">
        <v>150</v>
      </c>
      <c r="D39" s="468">
        <f aca="true" t="shared" si="6" ref="D39:M39">D26+D32+D37+D38</f>
        <v>0</v>
      </c>
      <c r="E39" s="225">
        <f t="shared" si="6"/>
        <v>0</v>
      </c>
      <c r="F39" s="225">
        <f t="shared" si="6"/>
        <v>0</v>
      </c>
      <c r="G39" s="225">
        <f t="shared" si="6"/>
        <v>0</v>
      </c>
      <c r="H39" s="532" t="s">
        <v>253</v>
      </c>
      <c r="I39" s="456"/>
      <c r="J39" s="468">
        <f t="shared" si="6"/>
        <v>0</v>
      </c>
      <c r="K39" s="225">
        <f t="shared" si="6"/>
        <v>0</v>
      </c>
      <c r="L39" s="225">
        <f t="shared" si="6"/>
        <v>0</v>
      </c>
      <c r="M39" s="225">
        <f t="shared" si="6"/>
        <v>0</v>
      </c>
      <c r="N39" s="532" t="s">
        <v>253</v>
      </c>
      <c r="O39" s="456"/>
      <c r="P39" s="517"/>
      <c r="Q39" s="192"/>
      <c r="R39" s="210"/>
      <c r="S39" s="210"/>
    </row>
    <row r="40" spans="1:19" ht="13.5" hidden="1" thickBot="1">
      <c r="A40" s="314"/>
      <c r="B40" s="315"/>
      <c r="C40" s="315"/>
      <c r="D40" s="508"/>
      <c r="E40" s="509"/>
      <c r="F40" s="509"/>
      <c r="G40" s="509"/>
      <c r="H40" s="533"/>
      <c r="I40" s="316"/>
      <c r="J40" s="508"/>
      <c r="K40" s="509"/>
      <c r="L40" s="509"/>
      <c r="M40" s="509"/>
      <c r="N40" s="533"/>
      <c r="O40" s="316"/>
      <c r="P40" s="518"/>
      <c r="Q40" s="316"/>
      <c r="R40" s="316"/>
      <c r="S40" s="316"/>
    </row>
    <row r="41" spans="1:19" ht="13.5" hidden="1" thickBot="1">
      <c r="A41" s="213" t="s">
        <v>151</v>
      </c>
      <c r="B41" s="214"/>
      <c r="C41" s="477"/>
      <c r="D41" s="492"/>
      <c r="E41" s="230"/>
      <c r="F41" s="230"/>
      <c r="G41" s="230"/>
      <c r="H41" s="534"/>
      <c r="I41" s="456"/>
      <c r="J41" s="492"/>
      <c r="K41" s="230"/>
      <c r="L41" s="230"/>
      <c r="M41" s="230"/>
      <c r="N41" s="534"/>
      <c r="O41" s="456"/>
      <c r="P41" s="519"/>
      <c r="Q41" s="229"/>
      <c r="R41" s="229"/>
      <c r="S41" s="229"/>
    </row>
    <row r="42" spans="1:19" ht="13.5" hidden="1" thickBot="1">
      <c r="A42" s="213" t="s">
        <v>152</v>
      </c>
      <c r="B42" s="214"/>
      <c r="C42" s="477"/>
      <c r="D42" s="492"/>
      <c r="E42" s="230"/>
      <c r="F42" s="230"/>
      <c r="G42" s="230"/>
      <c r="H42" s="534"/>
      <c r="I42" s="456"/>
      <c r="J42" s="492"/>
      <c r="K42" s="230"/>
      <c r="L42" s="230"/>
      <c r="M42" s="230"/>
      <c r="N42" s="534"/>
      <c r="O42" s="456"/>
      <c r="P42" s="519"/>
      <c r="Q42" s="229"/>
      <c r="R42" s="229"/>
      <c r="S42" s="229"/>
    </row>
    <row r="43" ht="12.75" hidden="1"/>
    <row r="44" spans="1:9" ht="12.75" hidden="1">
      <c r="A44" s="1099" t="s">
        <v>153</v>
      </c>
      <c r="B44" s="1099"/>
      <c r="C44" s="1099"/>
      <c r="D44" s="1099"/>
      <c r="E44" s="296"/>
      <c r="F44" s="296"/>
      <c r="G44" s="296"/>
      <c r="H44" s="296"/>
      <c r="I44" s="296"/>
    </row>
    <row r="45" spans="1:9" ht="12.75" hidden="1">
      <c r="A45" s="1099"/>
      <c r="B45" s="1099"/>
      <c r="C45" s="1099"/>
      <c r="E45" s="318"/>
      <c r="F45" s="318"/>
      <c r="G45" s="318"/>
      <c r="H45" s="318"/>
      <c r="I45" s="318"/>
    </row>
    <row r="46" spans="4:9" ht="12.75" hidden="1">
      <c r="D46" s="318">
        <v>0</v>
      </c>
      <c r="E46" s="318"/>
      <c r="F46" s="318"/>
      <c r="G46" s="318"/>
      <c r="H46" s="318"/>
      <c r="I46" s="31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zoomScale="70" zoomScaleNormal="70" workbookViewId="0" topLeftCell="C31">
      <selection activeCell="I29" sqref="I29"/>
    </sheetView>
  </sheetViews>
  <sheetFormatPr defaultColWidth="9.140625" defaultRowHeight="12.75"/>
  <cols>
    <col min="1" max="1" width="7.7109375" style="117" customWidth="1"/>
    <col min="2" max="2" width="3.8515625" style="124" customWidth="1"/>
    <col min="3" max="3" width="5.28125" style="124" customWidth="1"/>
    <col min="4" max="4" width="66.57421875" style="125" customWidth="1"/>
    <col min="5" max="5" width="22.57421875" style="1" customWidth="1"/>
    <col min="6" max="9" width="16.8515625" style="1" customWidth="1"/>
    <col min="10" max="10" width="16.8515625" style="1" hidden="1" customWidth="1"/>
    <col min="11" max="15" width="16.8515625" style="75" customWidth="1"/>
    <col min="16" max="18" width="16.8515625" style="75" hidden="1" customWidth="1"/>
    <col min="19" max="23" width="16.8515625" style="75" customWidth="1"/>
    <col min="24" max="24" width="16.8515625" style="75" hidden="1" customWidth="1"/>
    <col min="25" max="25" width="16.8515625" style="75" customWidth="1"/>
    <col min="26" max="29" width="16.8515625" style="1" customWidth="1"/>
    <col min="30" max="32" width="16.8515625" style="1" hidden="1" customWidth="1"/>
    <col min="33" max="33" width="16.8515625" style="1" customWidth="1"/>
    <col min="34" max="16384" width="9.140625" style="1" customWidth="1"/>
  </cols>
  <sheetData>
    <row r="1" spans="1:25" ht="24.75" customHeight="1">
      <c r="A1" s="1062" t="s">
        <v>8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</row>
    <row r="2" spans="1:25" ht="14.25" customHeight="1" thickBot="1">
      <c r="A2" s="921" t="s">
        <v>197</v>
      </c>
      <c r="B2" s="921"/>
      <c r="C2" s="116"/>
      <c r="D2" s="135"/>
      <c r="Y2" s="132" t="s">
        <v>511</v>
      </c>
    </row>
    <row r="3" spans="1:31" s="2" customFormat="1" ht="48.75" customHeight="1" thickBot="1">
      <c r="A3" s="1063" t="s">
        <v>4</v>
      </c>
      <c r="B3" s="1033"/>
      <c r="C3" s="1033"/>
      <c r="D3" s="1033"/>
      <c r="E3" s="438" t="s">
        <v>5</v>
      </c>
      <c r="F3" s="384"/>
      <c r="G3" s="384"/>
      <c r="H3" s="384"/>
      <c r="I3" s="384"/>
      <c r="J3" s="385"/>
      <c r="K3" s="438" t="s">
        <v>63</v>
      </c>
      <c r="L3" s="384"/>
      <c r="M3" s="384"/>
      <c r="N3" s="384"/>
      <c r="O3" s="384"/>
      <c r="P3" s="384"/>
      <c r="Q3" s="914"/>
      <c r="R3" s="385"/>
      <c r="S3" s="438" t="s">
        <v>64</v>
      </c>
      <c r="T3" s="384"/>
      <c r="U3" s="384"/>
      <c r="V3" s="384"/>
      <c r="W3" s="384"/>
      <c r="X3" s="385"/>
      <c r="Y3" s="1064" t="s">
        <v>68</v>
      </c>
      <c r="Z3" s="1065"/>
      <c r="AA3" s="1065"/>
      <c r="AB3" s="1065"/>
      <c r="AC3" s="1065"/>
      <c r="AD3" s="1065"/>
      <c r="AE3" s="1066"/>
    </row>
    <row r="4" spans="1:32" s="2" customFormat="1" ht="16.5" thickBot="1">
      <c r="A4" s="295"/>
      <c r="B4" s="293"/>
      <c r="C4" s="293"/>
      <c r="D4" s="293"/>
      <c r="E4" s="348" t="s">
        <v>67</v>
      </c>
      <c r="F4" s="349" t="s">
        <v>231</v>
      </c>
      <c r="G4" s="349" t="s">
        <v>234</v>
      </c>
      <c r="H4" s="349" t="s">
        <v>237</v>
      </c>
      <c r="I4" s="349" t="s">
        <v>251</v>
      </c>
      <c r="J4" s="350" t="s">
        <v>256</v>
      </c>
      <c r="K4" s="348" t="s">
        <v>67</v>
      </c>
      <c r="L4" s="349" t="s">
        <v>231</v>
      </c>
      <c r="M4" s="349" t="s">
        <v>234</v>
      </c>
      <c r="N4" s="349" t="s">
        <v>237</v>
      </c>
      <c r="O4" s="349" t="s">
        <v>251</v>
      </c>
      <c r="P4" s="349" t="s">
        <v>251</v>
      </c>
      <c r="Q4" s="349" t="s">
        <v>256</v>
      </c>
      <c r="R4" s="350" t="s">
        <v>240</v>
      </c>
      <c r="S4" s="348" t="s">
        <v>67</v>
      </c>
      <c r="T4" s="349" t="s">
        <v>231</v>
      </c>
      <c r="U4" s="349" t="s">
        <v>234</v>
      </c>
      <c r="V4" s="349" t="s">
        <v>237</v>
      </c>
      <c r="W4" s="349" t="s">
        <v>251</v>
      </c>
      <c r="X4" s="350" t="s">
        <v>256</v>
      </c>
      <c r="Y4" s="348" t="s">
        <v>67</v>
      </c>
      <c r="Z4" s="349" t="s">
        <v>231</v>
      </c>
      <c r="AA4" s="349" t="s">
        <v>234</v>
      </c>
      <c r="AB4" s="349" t="s">
        <v>237</v>
      </c>
      <c r="AC4" s="349" t="s">
        <v>251</v>
      </c>
      <c r="AD4" s="349" t="s">
        <v>256</v>
      </c>
      <c r="AE4" s="350" t="s">
        <v>256</v>
      </c>
      <c r="AF4" s="890"/>
    </row>
    <row r="5" spans="1:31" s="74" customFormat="1" ht="33" customHeight="1" thickBot="1">
      <c r="A5" s="109" t="s">
        <v>29</v>
      </c>
      <c r="B5" s="1050" t="s">
        <v>80</v>
      </c>
      <c r="C5" s="1050"/>
      <c r="D5" s="1050"/>
      <c r="E5" s="351">
        <f aca="true" t="shared" si="0" ref="E5:M5">SUM(E6:E10)</f>
        <v>484100201</v>
      </c>
      <c r="F5" s="288">
        <f t="shared" si="0"/>
        <v>484281258</v>
      </c>
      <c r="G5" s="288">
        <f t="shared" si="0"/>
        <v>484813454</v>
      </c>
      <c r="H5" s="288">
        <f>SUM(H6:H10)</f>
        <v>489161861</v>
      </c>
      <c r="I5" s="288">
        <f>SUM(I6:I10)</f>
        <v>490396664</v>
      </c>
      <c r="J5" s="288">
        <f>SUM(J6:J10)</f>
        <v>0</v>
      </c>
      <c r="K5" s="351">
        <f t="shared" si="0"/>
        <v>468452408</v>
      </c>
      <c r="L5" s="288">
        <f>SUM(L6:L10)</f>
        <v>468633465</v>
      </c>
      <c r="M5" s="288">
        <f t="shared" si="0"/>
        <v>469155661</v>
      </c>
      <c r="N5" s="288">
        <f>SUM(N6:N10)</f>
        <v>473274068</v>
      </c>
      <c r="O5" s="288">
        <f>SUM(O6:O10)</f>
        <v>474508871</v>
      </c>
      <c r="P5" s="288">
        <f>SUM(P6:P10)</f>
        <v>474508871</v>
      </c>
      <c r="Q5" s="288">
        <f>SUM(Q6:Q10)</f>
        <v>0</v>
      </c>
      <c r="R5" s="766">
        <f>P5/N5</f>
        <v>1.0026090654094322</v>
      </c>
      <c r="S5" s="351">
        <f aca="true" t="shared" si="1" ref="S5:AA5">SUM(S6:S10)</f>
        <v>15647793</v>
      </c>
      <c r="T5" s="288">
        <f>SUM(T6:T10)</f>
        <v>15647793</v>
      </c>
      <c r="U5" s="288">
        <f>SUM(U6:U10)</f>
        <v>15657793</v>
      </c>
      <c r="V5" s="288">
        <f>SUM(V6:V10)</f>
        <v>15887793</v>
      </c>
      <c r="W5" s="288">
        <f>SUM(W6:W10)</f>
        <v>15887793</v>
      </c>
      <c r="X5" s="288">
        <f>SUM(X6:X10)</f>
        <v>0</v>
      </c>
      <c r="Y5" s="351">
        <f t="shared" si="1"/>
        <v>4847310</v>
      </c>
      <c r="Z5" s="288">
        <f t="shared" si="1"/>
        <v>4847310</v>
      </c>
      <c r="AA5" s="288">
        <f t="shared" si="1"/>
        <v>4847310</v>
      </c>
      <c r="AB5" s="288">
        <f>SUM(AB6:AB10)</f>
        <v>4847310</v>
      </c>
      <c r="AC5" s="288">
        <f>SUM(AC6:AC10)</f>
        <v>4847310</v>
      </c>
      <c r="AD5" s="288">
        <f>SUM(AD6:AD10)</f>
        <v>0</v>
      </c>
      <c r="AE5" s="850">
        <f>SUM(AE6:AE10)</f>
        <v>0</v>
      </c>
    </row>
    <row r="6" spans="1:31" s="5" customFormat="1" ht="33" customHeight="1">
      <c r="A6" s="108"/>
      <c r="B6" s="113" t="s">
        <v>37</v>
      </c>
      <c r="C6" s="113"/>
      <c r="D6" s="342" t="s">
        <v>0</v>
      </c>
      <c r="E6" s="352">
        <f>'4.sz.m.ÖNK kiadás'!E7+'5.1 sz. m Köz Hiv'!D34+'5.2 sz. m ÁMK'!D38+'üres lap'!D27</f>
        <v>163677296</v>
      </c>
      <c r="F6" s="290">
        <f>'4.sz.m.ÖNK kiadás'!F7+'5.1 sz. m Köz Hiv'!E34+'5.2 sz. m ÁMK'!E38+'üres lap'!E27</f>
        <v>163677296</v>
      </c>
      <c r="G6" s="290">
        <f>'4.sz.m.ÖNK kiadás'!G7+'5.1 sz. m Köz Hiv'!F34+'5.2 sz. m ÁMK'!F38+'üres lap'!F27</f>
        <v>163677296</v>
      </c>
      <c r="H6" s="290">
        <f>'4.sz.m.ÖNK kiadás'!H7+'5.1 sz. m Köz Hiv'!G34+'5.2 sz. m ÁMK'!G38+'üres lap'!G27</f>
        <v>163527298</v>
      </c>
      <c r="I6" s="290">
        <f>'4.sz.m.ÖNK kiadás'!I7+'5.1 sz. m Köz Hiv'!H34+'5.2 sz. m ÁMK'!H38+'üres lap'!H27</f>
        <v>164747298</v>
      </c>
      <c r="J6" s="290">
        <f>'4.sz.m.ÖNK kiadás'!J7+'5.1 sz. m Köz Hiv'!I34+'5.2 sz. m ÁMK'!I38+'üres lap'!I27</f>
        <v>0</v>
      </c>
      <c r="K6" s="352">
        <f aca="true" t="shared" si="2" ref="K6:O13">E6-S6</f>
        <v>163677296</v>
      </c>
      <c r="L6" s="290">
        <f t="shared" si="2"/>
        <v>163677296</v>
      </c>
      <c r="M6" s="290">
        <f t="shared" si="2"/>
        <v>163677296</v>
      </c>
      <c r="N6" s="290">
        <f t="shared" si="2"/>
        <v>163527298</v>
      </c>
      <c r="O6" s="290">
        <f t="shared" si="2"/>
        <v>164747298</v>
      </c>
      <c r="P6" s="290">
        <f aca="true" t="shared" si="3" ref="P6:Q13">I6-W6</f>
        <v>164747298</v>
      </c>
      <c r="Q6" s="290">
        <f t="shared" si="3"/>
        <v>0</v>
      </c>
      <c r="R6" s="772">
        <f>P6/N6</f>
        <v>1.007460528088711</v>
      </c>
      <c r="S6" s="352">
        <f>'4.sz.m.ÖNK kiadás'!S7</f>
        <v>0</v>
      </c>
      <c r="T6" s="290">
        <f>'4.sz.m.ÖNK kiadás'!T7</f>
        <v>0</v>
      </c>
      <c r="U6" s="290">
        <f>'4.sz.m.ÖNK kiadás'!U7</f>
        <v>0</v>
      </c>
      <c r="V6" s="290">
        <f>'4.sz.m.ÖNK kiadás'!V7</f>
        <v>0</v>
      </c>
      <c r="W6" s="290">
        <f>'4.sz.m.ÖNK kiadás'!W7</f>
        <v>0</v>
      </c>
      <c r="X6" s="290">
        <f>'4.sz.m.ÖNK kiadás'!X7</f>
        <v>0</v>
      </c>
      <c r="Y6" s="352">
        <f>'5.1 sz. m Köz Hiv'!S34</f>
        <v>2225600</v>
      </c>
      <c r="Z6" s="290">
        <f>'5.1 sz. m Köz Hiv'!T34</f>
        <v>2225600</v>
      </c>
      <c r="AA6" s="290">
        <f>'5.1 sz. m Köz Hiv'!U34</f>
        <v>2225600</v>
      </c>
      <c r="AB6" s="290">
        <f>'5.1 sz. m Köz Hiv'!V34</f>
        <v>2225600</v>
      </c>
      <c r="AC6" s="290">
        <f>'5.1 sz. m Köz Hiv'!W34</f>
        <v>2225600</v>
      </c>
      <c r="AD6" s="290">
        <f>'5.1 sz. m Köz Hiv'!X34</f>
        <v>0</v>
      </c>
      <c r="AE6" s="851">
        <f>'5.1 sz. m Köz Hiv'!AA34</f>
        <v>0</v>
      </c>
    </row>
    <row r="7" spans="1:31" s="5" customFormat="1" ht="33" customHeight="1">
      <c r="A7" s="91"/>
      <c r="B7" s="100" t="s">
        <v>38</v>
      </c>
      <c r="C7" s="100"/>
      <c r="D7" s="343" t="s">
        <v>81</v>
      </c>
      <c r="E7" s="352">
        <f>'4.sz.m.ÖNK kiadás'!E8+'5.1 sz. m Köz Hiv'!D35+'5.2 sz. m ÁMK'!D39+'üres lap'!D28</f>
        <v>43314099</v>
      </c>
      <c r="F7" s="290">
        <f>'4.sz.m.ÖNK kiadás'!F8+'5.1 sz. m Köz Hiv'!E35+'5.2 sz. m ÁMK'!E39+'üres lap'!E28</f>
        <v>43314099</v>
      </c>
      <c r="G7" s="290">
        <f>'4.sz.m.ÖNK kiadás'!G8+'5.1 sz. m Köz Hiv'!F35+'5.2 sz. m ÁMK'!F39+'üres lap'!F28</f>
        <v>43314099</v>
      </c>
      <c r="H7" s="290">
        <f>'4.sz.m.ÖNK kiadás'!H8+'5.1 sz. m Köz Hiv'!G35+'5.2 sz. m ÁMK'!G39+'üres lap'!G28</f>
        <v>43327135</v>
      </c>
      <c r="I7" s="290">
        <f>'4.sz.m.ÖNK kiadás'!I8+'5.1 sz. m Köz Hiv'!H35+'5.2 sz. m ÁMK'!H39+'üres lap'!H28</f>
        <v>43677217</v>
      </c>
      <c r="J7" s="290">
        <f>'4.sz.m.ÖNK kiadás'!J8+'5.1 sz. m Köz Hiv'!I35+'5.2 sz. m ÁMK'!I39+'üres lap'!I28</f>
        <v>0</v>
      </c>
      <c r="K7" s="352">
        <f t="shared" si="2"/>
        <v>43314099</v>
      </c>
      <c r="L7" s="290">
        <f t="shared" si="2"/>
        <v>43314099</v>
      </c>
      <c r="M7" s="290">
        <f t="shared" si="2"/>
        <v>43314099</v>
      </c>
      <c r="N7" s="290">
        <f t="shared" si="2"/>
        <v>43327135</v>
      </c>
      <c r="O7" s="290">
        <f t="shared" si="2"/>
        <v>43677217</v>
      </c>
      <c r="P7" s="290">
        <f t="shared" si="3"/>
        <v>43677217</v>
      </c>
      <c r="Q7" s="290">
        <f t="shared" si="3"/>
        <v>0</v>
      </c>
      <c r="R7" s="772">
        <f aca="true" t="shared" si="4" ref="R7:R36">P7/N7</f>
        <v>1.0080799711312554</v>
      </c>
      <c r="S7" s="352">
        <f>'4.sz.m.ÖNK kiadás'!S8</f>
        <v>0</v>
      </c>
      <c r="T7" s="290">
        <f>'4.sz.m.ÖNK kiadás'!T8</f>
        <v>0</v>
      </c>
      <c r="U7" s="290">
        <f>'4.sz.m.ÖNK kiadás'!U8</f>
        <v>0</v>
      </c>
      <c r="V7" s="290">
        <f>'4.sz.m.ÖNK kiadás'!V8</f>
        <v>0</v>
      </c>
      <c r="W7" s="290">
        <f>'4.sz.m.ÖNK kiadás'!W8</f>
        <v>0</v>
      </c>
      <c r="X7" s="290">
        <f>'4.sz.m.ÖNK kiadás'!X8</f>
        <v>0</v>
      </c>
      <c r="Y7" s="352">
        <f>'5.1 sz. m Köz Hiv'!S35</f>
        <v>568827</v>
      </c>
      <c r="Z7" s="290">
        <f>'5.1 sz. m Köz Hiv'!T35</f>
        <v>568827</v>
      </c>
      <c r="AA7" s="290">
        <f>'5.1 sz. m Köz Hiv'!U35</f>
        <v>568827</v>
      </c>
      <c r="AB7" s="290">
        <f>'5.1 sz. m Köz Hiv'!V35</f>
        <v>568827</v>
      </c>
      <c r="AC7" s="290">
        <f>'5.1 sz. m Köz Hiv'!W35</f>
        <v>568827</v>
      </c>
      <c r="AD7" s="290">
        <f>'5.1 sz. m Köz Hiv'!X35</f>
        <v>0</v>
      </c>
      <c r="AE7" s="851">
        <f>'5.1 sz. m Köz Hiv'!AA35</f>
        <v>0</v>
      </c>
    </row>
    <row r="8" spans="1:31" s="5" customFormat="1" ht="33" customHeight="1">
      <c r="A8" s="91"/>
      <c r="B8" s="100" t="s">
        <v>39</v>
      </c>
      <c r="C8" s="100"/>
      <c r="D8" s="343" t="s">
        <v>82</v>
      </c>
      <c r="E8" s="352">
        <f>'4.sz.m.ÖNK kiadás'!E9+'5.1 sz. m Köz Hiv'!D36+'5.2 sz. m ÁMK'!D40+'üres lap'!D29</f>
        <v>129033720</v>
      </c>
      <c r="F8" s="290">
        <f>'4.sz.m.ÖNK kiadás'!F9+'5.1 sz. m Köz Hiv'!E36+'5.2 sz. m ÁMK'!E40+'üres lap'!E29</f>
        <v>129033720</v>
      </c>
      <c r="G8" s="290">
        <f>'4.sz.m.ÖNK kiadás'!G9+'5.1 sz. m Köz Hiv'!F36+'5.2 sz. m ÁMK'!F40+'üres lap'!F29</f>
        <v>129553416</v>
      </c>
      <c r="H8" s="290">
        <f>'4.sz.m.ÖNK kiadás'!H9+'5.1 sz. m Köz Hiv'!G36+'5.2 sz. m ÁMK'!G40+'üres lap'!G29</f>
        <v>131773987</v>
      </c>
      <c r="I8" s="290">
        <f>'4.sz.m.ÖNK kiadás'!I9+'5.1 sz. m Köz Hiv'!H36+'5.2 sz. m ÁMK'!H40+'üres lap'!H29</f>
        <v>135071938</v>
      </c>
      <c r="J8" s="290">
        <f>'4.sz.m.ÖNK kiadás'!J9+'5.1 sz. m Köz Hiv'!I36+'5.2 sz. m ÁMK'!I40+'üres lap'!I29</f>
        <v>0</v>
      </c>
      <c r="K8" s="352">
        <f t="shared" si="2"/>
        <v>127191996</v>
      </c>
      <c r="L8" s="290">
        <f t="shared" si="2"/>
        <v>127191996</v>
      </c>
      <c r="M8" s="290">
        <f t="shared" si="2"/>
        <v>127711692</v>
      </c>
      <c r="N8" s="290">
        <f t="shared" si="2"/>
        <v>129932263</v>
      </c>
      <c r="O8" s="290">
        <f t="shared" si="2"/>
        <v>133230214</v>
      </c>
      <c r="P8" s="290">
        <f t="shared" si="3"/>
        <v>133230214</v>
      </c>
      <c r="Q8" s="290">
        <f t="shared" si="3"/>
        <v>0</v>
      </c>
      <c r="R8" s="772">
        <f t="shared" si="4"/>
        <v>1.025382079276184</v>
      </c>
      <c r="S8" s="352">
        <f>'4.sz.m.ÖNK kiadás'!S9</f>
        <v>1841724</v>
      </c>
      <c r="T8" s="290">
        <f>'4.sz.m.ÖNK kiadás'!T9</f>
        <v>1841724</v>
      </c>
      <c r="U8" s="290">
        <f>'4.sz.m.ÖNK kiadás'!U9</f>
        <v>1841724</v>
      </c>
      <c r="V8" s="290">
        <f>'4.sz.m.ÖNK kiadás'!V9</f>
        <v>1841724</v>
      </c>
      <c r="W8" s="290">
        <f>'4.sz.m.ÖNK kiadás'!W9</f>
        <v>1841724</v>
      </c>
      <c r="X8" s="290">
        <f>'4.sz.m.ÖNK kiadás'!X9</f>
        <v>0</v>
      </c>
      <c r="Y8" s="352">
        <f>'5.1 sz. m Köz Hiv'!S36</f>
        <v>2052883</v>
      </c>
      <c r="Z8" s="290">
        <f>'5.1 sz. m Köz Hiv'!T36</f>
        <v>2052883</v>
      </c>
      <c r="AA8" s="290">
        <f>'5.1 sz. m Köz Hiv'!U36</f>
        <v>2052883</v>
      </c>
      <c r="AB8" s="290">
        <f>'5.1 sz. m Köz Hiv'!V36</f>
        <v>2052883</v>
      </c>
      <c r="AC8" s="290">
        <f>'5.1 sz. m Köz Hiv'!W36</f>
        <v>2052883</v>
      </c>
      <c r="AD8" s="290">
        <f>'5.1 sz. m Köz Hiv'!X36</f>
        <v>0</v>
      </c>
      <c r="AE8" s="851">
        <f>'5.1 sz. m Köz Hiv'!AA36</f>
        <v>0</v>
      </c>
    </row>
    <row r="9" spans="1:31" s="5" customFormat="1" ht="33" customHeight="1">
      <c r="A9" s="91"/>
      <c r="B9" s="100" t="s">
        <v>50</v>
      </c>
      <c r="C9" s="100"/>
      <c r="D9" s="343" t="s">
        <v>83</v>
      </c>
      <c r="E9" s="352">
        <f>'4.sz.m.ÖNK kiadás'!E10+'5.1 sz. m Köz Hiv'!D37+'5.2 sz. m ÁMK'!D41+'üres lap'!D30</f>
        <v>4774766</v>
      </c>
      <c r="F9" s="290">
        <f>'4.sz.m.ÖNK kiadás'!F10+'5.1 sz. m Köz Hiv'!E37+'5.2 sz. m ÁMK'!E41+'üres lap'!E30</f>
        <v>4774766</v>
      </c>
      <c r="G9" s="290">
        <f>'4.sz.m.ÖNK kiadás'!G10+'5.1 sz. m Köz Hiv'!F37+'5.2 sz. m ÁMK'!F41+'üres lap'!F30</f>
        <v>4777266</v>
      </c>
      <c r="H9" s="290">
        <f>'4.sz.m.ÖNK kiadás'!H10+'5.1 sz. m Köz Hiv'!G37+'5.2 sz. m ÁMK'!G41+'üres lap'!G30</f>
        <v>4777266</v>
      </c>
      <c r="I9" s="290">
        <f>'4.sz.m.ÖNK kiadás'!I10+'5.1 sz. m Köz Hiv'!H37+'5.2 sz. m ÁMK'!H41+'üres lap'!H30</f>
        <v>4755036</v>
      </c>
      <c r="J9" s="290">
        <f>'4.sz.m.ÖNK kiadás'!J10+'5.1 sz. m Köz Hiv'!I37+'5.2 sz. m ÁMK'!I41+'üres lap'!I30</f>
        <v>0</v>
      </c>
      <c r="K9" s="352">
        <f t="shared" si="2"/>
        <v>2024766</v>
      </c>
      <c r="L9" s="290">
        <f t="shared" si="2"/>
        <v>2024766</v>
      </c>
      <c r="M9" s="290">
        <f t="shared" si="2"/>
        <v>2027266</v>
      </c>
      <c r="N9" s="290">
        <f t="shared" si="2"/>
        <v>2027266</v>
      </c>
      <c r="O9" s="290">
        <f t="shared" si="2"/>
        <v>2005036</v>
      </c>
      <c r="P9" s="290">
        <f t="shared" si="3"/>
        <v>2005036</v>
      </c>
      <c r="Q9" s="290">
        <f t="shared" si="3"/>
        <v>0</v>
      </c>
      <c r="R9" s="772">
        <f t="shared" si="4"/>
        <v>0.9890344927602002</v>
      </c>
      <c r="S9" s="352">
        <f>'4.sz.m.ÖNK kiadás'!S10</f>
        <v>2750000</v>
      </c>
      <c r="T9" s="290">
        <f>'4.sz.m.ÖNK kiadás'!T10</f>
        <v>2750000</v>
      </c>
      <c r="U9" s="290">
        <f>'4.sz.m.ÖNK kiadás'!U10</f>
        <v>2750000</v>
      </c>
      <c r="V9" s="290">
        <f>'4.sz.m.ÖNK kiadás'!V10</f>
        <v>2750000</v>
      </c>
      <c r="W9" s="290">
        <f>'4.sz.m.ÖNK kiadás'!W10</f>
        <v>2750000</v>
      </c>
      <c r="X9" s="290">
        <f>'4.sz.m.ÖNK kiadás'!X10</f>
        <v>0</v>
      </c>
      <c r="Y9" s="352">
        <v>0</v>
      </c>
      <c r="Z9" s="290"/>
      <c r="AA9" s="290"/>
      <c r="AB9" s="290"/>
      <c r="AC9" s="290"/>
      <c r="AD9" s="290"/>
      <c r="AE9" s="851"/>
    </row>
    <row r="10" spans="1:31" s="5" customFormat="1" ht="33" customHeight="1">
      <c r="A10" s="91"/>
      <c r="B10" s="100" t="s">
        <v>51</v>
      </c>
      <c r="C10" s="100"/>
      <c r="D10" s="344" t="s">
        <v>85</v>
      </c>
      <c r="E10" s="352">
        <f aca="true" t="shared" si="5" ref="E10:J10">SUM(E11:E15)</f>
        <v>143300320</v>
      </c>
      <c r="F10" s="290">
        <f t="shared" si="5"/>
        <v>143481377</v>
      </c>
      <c r="G10" s="290">
        <f t="shared" si="5"/>
        <v>143491377</v>
      </c>
      <c r="H10" s="290">
        <f t="shared" si="5"/>
        <v>145756175</v>
      </c>
      <c r="I10" s="290">
        <f>SUM(I11:I15)</f>
        <v>142145175</v>
      </c>
      <c r="J10" s="290">
        <f t="shared" si="5"/>
        <v>0</v>
      </c>
      <c r="K10" s="352">
        <f t="shared" si="2"/>
        <v>132244251</v>
      </c>
      <c r="L10" s="290">
        <f t="shared" si="2"/>
        <v>132425308</v>
      </c>
      <c r="M10" s="290">
        <f t="shared" si="2"/>
        <v>132425308</v>
      </c>
      <c r="N10" s="290">
        <f t="shared" si="2"/>
        <v>134460106</v>
      </c>
      <c r="O10" s="290">
        <f t="shared" si="2"/>
        <v>130849106</v>
      </c>
      <c r="P10" s="290">
        <f t="shared" si="3"/>
        <v>130849106</v>
      </c>
      <c r="Q10" s="290">
        <f t="shared" si="3"/>
        <v>0</v>
      </c>
      <c r="R10" s="772">
        <f t="shared" si="4"/>
        <v>0.9731444507413969</v>
      </c>
      <c r="S10" s="352">
        <f>'4.sz.m.ÖNK kiadás'!S11</f>
        <v>11056069</v>
      </c>
      <c r="T10" s="290">
        <f>'4.sz.m.ÖNK kiadás'!T11</f>
        <v>11056069</v>
      </c>
      <c r="U10" s="290">
        <f>'4.sz.m.ÖNK kiadás'!U11</f>
        <v>11066069</v>
      </c>
      <c r="V10" s="290">
        <f>'4.sz.m.ÖNK kiadás'!V11</f>
        <v>11296069</v>
      </c>
      <c r="W10" s="290">
        <f>'4.sz.m.ÖNK kiadás'!W11</f>
        <v>11296069</v>
      </c>
      <c r="X10" s="290">
        <f>'4.sz.m.ÖNK kiadás'!X11</f>
        <v>0</v>
      </c>
      <c r="Y10" s="352">
        <v>0</v>
      </c>
      <c r="Z10" s="290"/>
      <c r="AA10" s="290"/>
      <c r="AB10" s="290"/>
      <c r="AC10" s="290"/>
      <c r="AD10" s="290"/>
      <c r="AE10" s="851"/>
    </row>
    <row r="11" spans="1:31" s="5" customFormat="1" ht="33" customHeight="1">
      <c r="A11" s="91"/>
      <c r="B11" s="123"/>
      <c r="C11" s="100" t="s">
        <v>84</v>
      </c>
      <c r="D11" s="345" t="s">
        <v>284</v>
      </c>
      <c r="E11" s="352">
        <f>'4.sz.m.ÖNK kiadás'!E12</f>
        <v>0</v>
      </c>
      <c r="F11" s="290">
        <f>'4.sz.m.ÖNK kiadás'!F12</f>
        <v>181057</v>
      </c>
      <c r="G11" s="290">
        <f>'4.sz.m.ÖNK kiadás'!G12</f>
        <v>181057</v>
      </c>
      <c r="H11" s="290">
        <f>'4.sz.m.ÖNK kiadás'!H12+'5.1 sz. m Köz Hiv'!G38+'5.2 sz. m ÁMK'!G42</f>
        <v>2215855</v>
      </c>
      <c r="I11" s="290">
        <f>'4.sz.m.ÖNK kiadás'!I12+'5.1 sz. m Köz Hiv'!H38+'5.2 sz. m ÁMK'!H42</f>
        <v>2215855</v>
      </c>
      <c r="J11" s="290">
        <f>'4.sz.m.ÖNK kiadás'!J12+'5.1 sz. m Köz Hiv'!I38+'5.2 sz. m ÁMK'!I42-415</f>
        <v>-415</v>
      </c>
      <c r="K11" s="352">
        <f t="shared" si="2"/>
        <v>0</v>
      </c>
      <c r="L11" s="290">
        <f t="shared" si="2"/>
        <v>181057</v>
      </c>
      <c r="M11" s="290">
        <f t="shared" si="2"/>
        <v>181057</v>
      </c>
      <c r="N11" s="290">
        <f t="shared" si="2"/>
        <v>2215855</v>
      </c>
      <c r="O11" s="290">
        <f t="shared" si="2"/>
        <v>2215855</v>
      </c>
      <c r="P11" s="290">
        <f t="shared" si="3"/>
        <v>2215855</v>
      </c>
      <c r="Q11" s="290">
        <f t="shared" si="3"/>
        <v>-415</v>
      </c>
      <c r="R11" s="772">
        <f t="shared" si="4"/>
        <v>1</v>
      </c>
      <c r="S11" s="352">
        <f>'4.sz.m.ÖNK kiadás'!S12</f>
        <v>0</v>
      </c>
      <c r="T11" s="290">
        <f>'4.sz.m.ÖNK kiadás'!T12</f>
        <v>0</v>
      </c>
      <c r="U11" s="290">
        <f>'4.sz.m.ÖNK kiadás'!U12</f>
        <v>0</v>
      </c>
      <c r="V11" s="290">
        <f>'4.sz.m.ÖNK kiadás'!V12</f>
        <v>0</v>
      </c>
      <c r="W11" s="290">
        <f>'4.sz.m.ÖNK kiadás'!W12</f>
        <v>0</v>
      </c>
      <c r="X11" s="290">
        <f>'4.sz.m.ÖNK kiadás'!X12</f>
        <v>0</v>
      </c>
      <c r="Y11" s="352">
        <v>0</v>
      </c>
      <c r="Z11" s="290"/>
      <c r="AA11" s="290"/>
      <c r="AB11" s="290"/>
      <c r="AC11" s="290"/>
      <c r="AD11" s="290"/>
      <c r="AE11" s="851"/>
    </row>
    <row r="12" spans="1:31" s="5" customFormat="1" ht="57.75" customHeight="1">
      <c r="A12" s="91"/>
      <c r="B12" s="100"/>
      <c r="C12" s="100" t="s">
        <v>86</v>
      </c>
      <c r="D12" s="343" t="s">
        <v>285</v>
      </c>
      <c r="E12" s="352">
        <f>'4.sz.m.ÖNK kiadás'!E13</f>
        <v>10018325</v>
      </c>
      <c r="F12" s="290">
        <f>'4.sz.m.ÖNK kiadás'!F13</f>
        <v>10018325</v>
      </c>
      <c r="G12" s="290">
        <f>'4.sz.m.ÖNK kiadás'!G13</f>
        <v>10028325</v>
      </c>
      <c r="H12" s="290">
        <f>'4.sz.m.ÖNK kiadás'!H13</f>
        <v>10258325</v>
      </c>
      <c r="I12" s="290">
        <f>'4.sz.m.ÖNK kiadás'!I13</f>
        <v>10258325</v>
      </c>
      <c r="J12" s="290">
        <f>'4.sz.m.ÖNK kiadás'!J13+415</f>
        <v>415</v>
      </c>
      <c r="K12" s="352">
        <f t="shared" si="2"/>
        <v>0</v>
      </c>
      <c r="L12" s="290">
        <f t="shared" si="2"/>
        <v>0</v>
      </c>
      <c r="M12" s="290">
        <f t="shared" si="2"/>
        <v>0</v>
      </c>
      <c r="N12" s="290">
        <f t="shared" si="2"/>
        <v>0</v>
      </c>
      <c r="O12" s="290">
        <f t="shared" si="2"/>
        <v>0</v>
      </c>
      <c r="P12" s="290">
        <f t="shared" si="3"/>
        <v>0</v>
      </c>
      <c r="Q12" s="290">
        <f t="shared" si="3"/>
        <v>415</v>
      </c>
      <c r="R12" s="772"/>
      <c r="S12" s="352">
        <f>'4.sz.m.ÖNK kiadás'!S13</f>
        <v>10018325</v>
      </c>
      <c r="T12" s="290">
        <f>'4.sz.m.ÖNK kiadás'!T13</f>
        <v>10018325</v>
      </c>
      <c r="U12" s="290">
        <f>'4.sz.m.ÖNK kiadás'!U13</f>
        <v>10028325</v>
      </c>
      <c r="V12" s="290">
        <f>'4.sz.m.ÖNK kiadás'!V13</f>
        <v>10258325</v>
      </c>
      <c r="W12" s="290">
        <f>'4.sz.m.ÖNK kiadás'!W13</f>
        <v>10258325</v>
      </c>
      <c r="X12" s="290">
        <f>'4.sz.m.ÖNK kiadás'!X13</f>
        <v>0</v>
      </c>
      <c r="Y12" s="352">
        <v>0</v>
      </c>
      <c r="Z12" s="290"/>
      <c r="AA12" s="290"/>
      <c r="AB12" s="290"/>
      <c r="AC12" s="290"/>
      <c r="AD12" s="290"/>
      <c r="AE12" s="851"/>
    </row>
    <row r="13" spans="1:31" s="5" customFormat="1" ht="54.75" customHeight="1" thickBot="1">
      <c r="A13" s="119"/>
      <c r="B13" s="120"/>
      <c r="C13" s="100" t="s">
        <v>87</v>
      </c>
      <c r="D13" s="343" t="s">
        <v>286</v>
      </c>
      <c r="E13" s="352">
        <f>'4.sz.m.ÖNK kiadás'!E14</f>
        <v>133281995</v>
      </c>
      <c r="F13" s="290">
        <f>'4.sz.m.ÖNK kiadás'!F14</f>
        <v>133281995</v>
      </c>
      <c r="G13" s="290">
        <f>'4.sz.m.ÖNK kiadás'!G14</f>
        <v>133281995</v>
      </c>
      <c r="H13" s="290">
        <f>'4.sz.m.ÖNK kiadás'!H14</f>
        <v>133281995</v>
      </c>
      <c r="I13" s="290">
        <f>'4.sz.m.ÖNK kiadás'!I14</f>
        <v>129670995</v>
      </c>
      <c r="J13" s="290">
        <f>'4.sz.m.ÖNK kiadás'!J14</f>
        <v>0</v>
      </c>
      <c r="K13" s="352">
        <f t="shared" si="2"/>
        <v>132244251</v>
      </c>
      <c r="L13" s="290">
        <f t="shared" si="2"/>
        <v>132244251</v>
      </c>
      <c r="M13" s="290">
        <f t="shared" si="2"/>
        <v>132244251</v>
      </c>
      <c r="N13" s="290">
        <f t="shared" si="2"/>
        <v>132244251</v>
      </c>
      <c r="O13" s="290">
        <f t="shared" si="2"/>
        <v>128633251</v>
      </c>
      <c r="P13" s="290">
        <f t="shared" si="3"/>
        <v>128633251</v>
      </c>
      <c r="Q13" s="290">
        <f t="shared" si="3"/>
        <v>0</v>
      </c>
      <c r="R13" s="772">
        <f t="shared" si="4"/>
        <v>0.9726944651832161</v>
      </c>
      <c r="S13" s="352">
        <f>'4.sz.m.ÖNK kiadás'!S14</f>
        <v>1037744</v>
      </c>
      <c r="T13" s="290">
        <f>'4.sz.m.ÖNK kiadás'!T14</f>
        <v>1037744</v>
      </c>
      <c r="U13" s="290">
        <f>'4.sz.m.ÖNK kiadás'!U14</f>
        <v>1037744</v>
      </c>
      <c r="V13" s="290">
        <f>'4.sz.m.ÖNK kiadás'!V14</f>
        <v>1037744</v>
      </c>
      <c r="W13" s="290">
        <f>'4.sz.m.ÖNK kiadás'!W14</f>
        <v>1037744</v>
      </c>
      <c r="X13" s="290">
        <f>'4.sz.m.ÖNK kiadás'!X14</f>
        <v>0</v>
      </c>
      <c r="Y13" s="352">
        <v>0</v>
      </c>
      <c r="Z13" s="290"/>
      <c r="AA13" s="290"/>
      <c r="AB13" s="290"/>
      <c r="AC13" s="290"/>
      <c r="AD13" s="290"/>
      <c r="AE13" s="851"/>
    </row>
    <row r="14" spans="1:31" s="5" customFormat="1" ht="33" customHeight="1" hidden="1">
      <c r="A14" s="91"/>
      <c r="B14" s="100"/>
      <c r="C14" s="100" t="s">
        <v>90</v>
      </c>
      <c r="D14" s="343" t="s">
        <v>92</v>
      </c>
      <c r="E14" s="352"/>
      <c r="F14" s="290"/>
      <c r="G14" s="290"/>
      <c r="H14" s="290"/>
      <c r="I14" s="290"/>
      <c r="J14" s="290"/>
      <c r="K14" s="352"/>
      <c r="L14" s="290"/>
      <c r="M14" s="290"/>
      <c r="N14" s="290"/>
      <c r="O14" s="290"/>
      <c r="P14" s="290"/>
      <c r="Q14" s="290"/>
      <c r="R14" s="772" t="e">
        <f t="shared" si="4"/>
        <v>#DIV/0!</v>
      </c>
      <c r="S14" s="352">
        <f>'4.sz.m.ÖNK kiadás'!S15</f>
        <v>0</v>
      </c>
      <c r="T14" s="290">
        <f>'4.sz.m.ÖNK kiadás'!T15</f>
        <v>0</v>
      </c>
      <c r="U14" s="290">
        <f>'4.sz.m.ÖNK kiadás'!U15</f>
        <v>0</v>
      </c>
      <c r="V14" s="290">
        <f>'4.sz.m.ÖNK kiadás'!V15</f>
        <v>0</v>
      </c>
      <c r="W14" s="290">
        <f>'4.sz.m.ÖNK kiadás'!W15</f>
        <v>0</v>
      </c>
      <c r="X14" s="290">
        <f>'4.sz.m.ÖNK kiadás'!X15</f>
        <v>0</v>
      </c>
      <c r="Y14" s="352"/>
      <c r="Z14" s="290"/>
      <c r="AA14" s="290"/>
      <c r="AB14" s="290"/>
      <c r="AC14" s="290"/>
      <c r="AD14" s="290"/>
      <c r="AE14" s="851"/>
    </row>
    <row r="15" spans="1:31" s="5" customFormat="1" ht="33" customHeight="1" hidden="1" thickBot="1">
      <c r="A15" s="127"/>
      <c r="B15" s="114"/>
      <c r="C15" s="114" t="s">
        <v>91</v>
      </c>
      <c r="D15" s="346" t="s">
        <v>93</v>
      </c>
      <c r="E15" s="352"/>
      <c r="F15" s="290"/>
      <c r="G15" s="290"/>
      <c r="H15" s="290"/>
      <c r="I15" s="290"/>
      <c r="J15" s="290"/>
      <c r="K15" s="352"/>
      <c r="L15" s="290"/>
      <c r="M15" s="290"/>
      <c r="N15" s="290"/>
      <c r="O15" s="290"/>
      <c r="P15" s="290"/>
      <c r="Q15" s="290"/>
      <c r="R15" s="772" t="e">
        <f t="shared" si="4"/>
        <v>#DIV/0!</v>
      </c>
      <c r="S15" s="352">
        <f>'4.sz.m.ÖNK kiadás'!S16</f>
        <v>0</v>
      </c>
      <c r="T15" s="290">
        <f>'4.sz.m.ÖNK kiadás'!T16</f>
        <v>0</v>
      </c>
      <c r="U15" s="290">
        <f>'4.sz.m.ÖNK kiadás'!U16</f>
        <v>0</v>
      </c>
      <c r="V15" s="290">
        <f>'4.sz.m.ÖNK kiadás'!V16</f>
        <v>0</v>
      </c>
      <c r="W15" s="290">
        <f>'4.sz.m.ÖNK kiadás'!W16</f>
        <v>0</v>
      </c>
      <c r="X15" s="290">
        <f>'4.sz.m.ÖNK kiadás'!X16</f>
        <v>0</v>
      </c>
      <c r="Y15" s="352"/>
      <c r="Z15" s="290"/>
      <c r="AA15" s="290"/>
      <c r="AB15" s="290"/>
      <c r="AC15" s="290"/>
      <c r="AD15" s="290"/>
      <c r="AE15" s="851"/>
    </row>
    <row r="16" spans="1:31" s="5" customFormat="1" ht="33" customHeight="1" thickBot="1">
      <c r="A16" s="109" t="s">
        <v>30</v>
      </c>
      <c r="B16" s="1050" t="s">
        <v>94</v>
      </c>
      <c r="C16" s="1050"/>
      <c r="D16" s="1050"/>
      <c r="E16" s="353">
        <f aca="true" t="shared" si="6" ref="E16:M16">SUM(E17:E19)</f>
        <v>36406000</v>
      </c>
      <c r="F16" s="73">
        <f>SUM(F17:F19)</f>
        <v>36406000</v>
      </c>
      <c r="G16" s="73">
        <f t="shared" si="6"/>
        <v>35086401</v>
      </c>
      <c r="H16" s="73">
        <f>SUM(H17:H19)</f>
        <v>86398233</v>
      </c>
      <c r="I16" s="73">
        <f>SUM(I17:I19)</f>
        <v>87096421</v>
      </c>
      <c r="J16" s="73">
        <f>SUM(J17:J19)</f>
        <v>0</v>
      </c>
      <c r="K16" s="353">
        <f t="shared" si="6"/>
        <v>31406000</v>
      </c>
      <c r="L16" s="73">
        <f>SUM(L17:L19)</f>
        <v>31406000</v>
      </c>
      <c r="M16" s="73">
        <f t="shared" si="6"/>
        <v>30086401</v>
      </c>
      <c r="N16" s="73">
        <f>SUM(N17:N19)</f>
        <v>79898233</v>
      </c>
      <c r="O16" s="73">
        <f>SUM(O17:O19)</f>
        <v>80596421</v>
      </c>
      <c r="P16" s="73">
        <f>SUM(P17:P19)</f>
        <v>80596421</v>
      </c>
      <c r="Q16" s="73">
        <f>SUM(Q17:Q19)</f>
        <v>0</v>
      </c>
      <c r="R16" s="770">
        <f t="shared" si="4"/>
        <v>1.0087384660934866</v>
      </c>
      <c r="S16" s="353">
        <f aca="true" t="shared" si="7" ref="S16:X16">SUM(S17:S19)</f>
        <v>5000000</v>
      </c>
      <c r="T16" s="73">
        <f t="shared" si="7"/>
        <v>5000000</v>
      </c>
      <c r="U16" s="73">
        <f t="shared" si="7"/>
        <v>5000000</v>
      </c>
      <c r="V16" s="73">
        <f t="shared" si="7"/>
        <v>6500000</v>
      </c>
      <c r="W16" s="73">
        <f t="shared" si="7"/>
        <v>6500000</v>
      </c>
      <c r="X16" s="73">
        <f t="shared" si="7"/>
        <v>0</v>
      </c>
      <c r="Y16" s="353">
        <f aca="true" t="shared" si="8" ref="Y16:AE16">SUM(Y17:Y19)</f>
        <v>0</v>
      </c>
      <c r="Z16" s="73">
        <f t="shared" si="8"/>
        <v>0</v>
      </c>
      <c r="AA16" s="73">
        <f t="shared" si="8"/>
        <v>0</v>
      </c>
      <c r="AB16" s="73">
        <f t="shared" si="8"/>
        <v>0</v>
      </c>
      <c r="AC16" s="73">
        <f t="shared" si="8"/>
        <v>0</v>
      </c>
      <c r="AD16" s="73">
        <f t="shared" si="8"/>
        <v>0</v>
      </c>
      <c r="AE16" s="852">
        <f t="shared" si="8"/>
        <v>0</v>
      </c>
    </row>
    <row r="17" spans="1:31" s="5" customFormat="1" ht="33" customHeight="1">
      <c r="A17" s="108"/>
      <c r="B17" s="113" t="s">
        <v>40</v>
      </c>
      <c r="C17" s="1057" t="s">
        <v>95</v>
      </c>
      <c r="D17" s="1057"/>
      <c r="E17" s="352">
        <f>'4.sz.m.ÖNK kiadás'!E18+'5.1 sz. m Köz Hiv'!D40+'5.2 sz. m ÁMK'!D44+'üres lap'!D33</f>
        <v>2406000</v>
      </c>
      <c r="F17" s="290">
        <f>'4.sz.m.ÖNK kiadás'!F18+'5.1 sz. m Köz Hiv'!E40+'5.2 sz. m ÁMK'!E44+'üres lap'!E33</f>
        <v>2406000</v>
      </c>
      <c r="G17" s="290">
        <f>'4.sz.m.ÖNK kiadás'!G18+'5.1 sz. m Köz Hiv'!F40+'5.2 sz. m ÁMK'!F44+'üres lap'!F33</f>
        <v>4682220</v>
      </c>
      <c r="H17" s="290">
        <f>'4.sz.m.ÖNK kiadás'!H18+'5.1 sz. m Köz Hiv'!G40+'5.2 sz. m ÁMK'!G44+'üres lap'!G33</f>
        <v>7651650</v>
      </c>
      <c r="I17" s="290">
        <f>'4.sz.m.ÖNK kiadás'!I18+'5.1 sz. m Köz Hiv'!H40+'5.2 sz. m ÁMK'!H44+'üres lap'!H33</f>
        <v>8002170</v>
      </c>
      <c r="J17" s="290">
        <f>'4.sz.m.ÖNK kiadás'!J18+'5.1 sz. m Köz Hiv'!I40+'5.2 sz. m ÁMK'!I44+'üres lap'!I33</f>
        <v>0</v>
      </c>
      <c r="K17" s="352">
        <f>'4.sz.m.ÖNK kiadás'!L18+'5.1 sz. m Köz Hiv'!L40+'5.2 sz. m ÁMK'!L44</f>
        <v>2406000</v>
      </c>
      <c r="L17" s="290">
        <f>'4.sz.m.ÖNK kiadás'!M18+'5.1 sz. m Köz Hiv'!M40+'5.2 sz. m ÁMK'!M44</f>
        <v>2406000</v>
      </c>
      <c r="M17" s="290">
        <f>'4.sz.m.ÖNK kiadás'!N18+'5.1 sz. m Köz Hiv'!N40+'5.2 sz. m ÁMK'!N44+'üres lap'!L33</f>
        <v>4682220</v>
      </c>
      <c r="N17" s="290">
        <f>'4.sz.m.ÖNK kiadás'!O18+'5.1 sz. m Köz Hiv'!O40+'5.2 sz. m ÁMK'!O44+'üres lap'!M33</f>
        <v>7651650</v>
      </c>
      <c r="O17" s="290">
        <f>'4.sz.m.ÖNK kiadás'!P18+'5.1 sz. m Köz Hiv'!P40+'5.2 sz. m ÁMK'!P44+'üres lap'!N33</f>
        <v>8002170</v>
      </c>
      <c r="P17" s="290">
        <f>'4.sz.m.ÖNK kiadás'!P18+'5.1 sz. m Köz Hiv'!P40+'5.2 sz. m ÁMK'!P44+'üres lap'!N33</f>
        <v>8002170</v>
      </c>
      <c r="Q17" s="290">
        <f>'4.sz.m.ÖNK kiadás'!Q18+'5.1 sz. m Köz Hiv'!Q40+'5.2 sz. m ÁMK'!Q44+'üres lap'!O33</f>
        <v>0</v>
      </c>
      <c r="R17" s="772">
        <f t="shared" si="4"/>
        <v>1.0458097273137166</v>
      </c>
      <c r="S17" s="352">
        <f>'4.sz.m.ÖNK kiadás'!S18</f>
        <v>0</v>
      </c>
      <c r="T17" s="290">
        <f>'4.sz.m.ÖNK kiadás'!T18</f>
        <v>0</v>
      </c>
      <c r="U17" s="290">
        <f>'4.sz.m.ÖNK kiadás'!U18</f>
        <v>0</v>
      </c>
      <c r="V17" s="290">
        <f>'4.sz.m.ÖNK kiadás'!V18</f>
        <v>0</v>
      </c>
      <c r="W17" s="290">
        <f>'4.sz.m.ÖNK kiadás'!W18</f>
        <v>0</v>
      </c>
      <c r="X17" s="290">
        <f>'4.sz.m.ÖNK kiadás'!X18</f>
        <v>0</v>
      </c>
      <c r="Y17" s="352">
        <v>0</v>
      </c>
      <c r="Z17" s="290"/>
      <c r="AA17" s="290"/>
      <c r="AB17" s="290"/>
      <c r="AC17" s="290"/>
      <c r="AD17" s="290"/>
      <c r="AE17" s="851"/>
    </row>
    <row r="18" spans="1:31" s="5" customFormat="1" ht="33" customHeight="1">
      <c r="A18" s="91"/>
      <c r="B18" s="100" t="s">
        <v>41</v>
      </c>
      <c r="C18" s="1048" t="s">
        <v>96</v>
      </c>
      <c r="D18" s="1048"/>
      <c r="E18" s="352">
        <f>'4.sz.m.ÖNK kiadás'!E19</f>
        <v>29000000</v>
      </c>
      <c r="F18" s="290">
        <f>'4.sz.m.ÖNK kiadás'!F19+'5.2 sz. m ÁMK'!E46</f>
        <v>29000000</v>
      </c>
      <c r="G18" s="290">
        <f>'4.sz.m.ÖNK kiadás'!G19+'5.2 sz. m ÁMK'!F46</f>
        <v>25404181</v>
      </c>
      <c r="H18" s="290">
        <f>'4.sz.m.ÖNK kiadás'!H19+'5.2 sz. m ÁMK'!G46</f>
        <v>27387324</v>
      </c>
      <c r="I18" s="290">
        <f>'4.sz.m.ÖNK kiadás'!I19+'5.2 sz. m ÁMK'!H46</f>
        <v>27734992</v>
      </c>
      <c r="J18" s="290">
        <f>'4.sz.m.ÖNK kiadás'!J19+'5.2 sz. m ÁMK'!I46</f>
        <v>0</v>
      </c>
      <c r="K18" s="352">
        <f>'4.sz.m.ÖNK kiadás'!L19+'5.1 sz. m Köz Hiv'!L41+'5.2 sz. m ÁMK'!L45</f>
        <v>29000000</v>
      </c>
      <c r="L18" s="290">
        <f>'4.sz.m.ÖNK kiadás'!M19+'5.1 sz. m Köz Hiv'!M41+'5.2 sz. m ÁMK'!M45</f>
        <v>29000000</v>
      </c>
      <c r="M18" s="290">
        <f>'4.sz.m.ÖNK kiadás'!N19+'5.2 sz. m ÁMK'!N46</f>
        <v>25404181</v>
      </c>
      <c r="N18" s="290">
        <f>'4.sz.m.ÖNK kiadás'!O19+'5.2 sz. m ÁMK'!O46</f>
        <v>27387324</v>
      </c>
      <c r="O18" s="290">
        <f>'4.sz.m.ÖNK kiadás'!P19+'5.2 sz. m ÁMK'!P46</f>
        <v>27734992</v>
      </c>
      <c r="P18" s="290">
        <f>'4.sz.m.ÖNK kiadás'!P19+'5.2 sz. m ÁMK'!P46</f>
        <v>27734992</v>
      </c>
      <c r="Q18" s="290">
        <f>'4.sz.m.ÖNK kiadás'!Q19+'5.2 sz. m ÁMK'!Q46</f>
        <v>0</v>
      </c>
      <c r="R18" s="772">
        <f t="shared" si="4"/>
        <v>1.0126944859600011</v>
      </c>
      <c r="S18" s="352">
        <f>'4.sz.m.ÖNK kiadás'!S19</f>
        <v>0</v>
      </c>
      <c r="T18" s="290">
        <f>'4.sz.m.ÖNK kiadás'!T19</f>
        <v>0</v>
      </c>
      <c r="U18" s="290">
        <f>'4.sz.m.ÖNK kiadás'!U19</f>
        <v>0</v>
      </c>
      <c r="V18" s="290">
        <f>'4.sz.m.ÖNK kiadás'!V19</f>
        <v>0</v>
      </c>
      <c r="W18" s="290">
        <f>'4.sz.m.ÖNK kiadás'!W19</f>
        <v>0</v>
      </c>
      <c r="X18" s="290">
        <f>'4.sz.m.ÖNK kiadás'!X19</f>
        <v>0</v>
      </c>
      <c r="Y18" s="352">
        <v>0</v>
      </c>
      <c r="Z18" s="290"/>
      <c r="AA18" s="290"/>
      <c r="AB18" s="290"/>
      <c r="AC18" s="290"/>
      <c r="AD18" s="290"/>
      <c r="AE18" s="851"/>
    </row>
    <row r="19" spans="1:31" s="5" customFormat="1" ht="33" customHeight="1">
      <c r="A19" s="121"/>
      <c r="B19" s="100" t="s">
        <v>42</v>
      </c>
      <c r="C19" s="1061" t="s">
        <v>97</v>
      </c>
      <c r="D19" s="1061"/>
      <c r="E19" s="352">
        <f>'4.sz.m.ÖNK kiadás'!E20</f>
        <v>5000000</v>
      </c>
      <c r="F19" s="290">
        <f>'4.sz.m.ÖNK kiadás'!F20</f>
        <v>5000000</v>
      </c>
      <c r="G19" s="290">
        <f>'4.sz.m.ÖNK kiadás'!G20</f>
        <v>5000000</v>
      </c>
      <c r="H19" s="290">
        <f>'4.sz.m.ÖNK kiadás'!H20</f>
        <v>51359259</v>
      </c>
      <c r="I19" s="290">
        <f>'4.sz.m.ÖNK kiadás'!I20</f>
        <v>51359259</v>
      </c>
      <c r="J19" s="290">
        <f>'4.sz.m.ÖNK kiadás'!J20</f>
        <v>0</v>
      </c>
      <c r="K19" s="352">
        <f>'4.sz.m.ÖNK kiadás'!L20</f>
        <v>0</v>
      </c>
      <c r="L19" s="290">
        <f>'4.sz.m.ÖNK kiadás'!M20</f>
        <v>0</v>
      </c>
      <c r="M19" s="290">
        <f>'4.sz.m.ÖNK kiadás'!N20</f>
        <v>0</v>
      </c>
      <c r="N19" s="290">
        <f>'4.sz.m.ÖNK kiadás'!O20</f>
        <v>44859259</v>
      </c>
      <c r="O19" s="290">
        <f>'4.sz.m.ÖNK kiadás'!P20</f>
        <v>44859259</v>
      </c>
      <c r="P19" s="290">
        <f>'4.sz.m.ÖNK kiadás'!P20</f>
        <v>44859259</v>
      </c>
      <c r="Q19" s="290">
        <f>'4.sz.m.ÖNK kiadás'!Q20</f>
        <v>0</v>
      </c>
      <c r="R19" s="772"/>
      <c r="S19" s="352">
        <f>'4.sz.m.ÖNK kiadás'!S20</f>
        <v>5000000</v>
      </c>
      <c r="T19" s="290">
        <f>'4.sz.m.ÖNK kiadás'!T20</f>
        <v>5000000</v>
      </c>
      <c r="U19" s="290">
        <f>'4.sz.m.ÖNK kiadás'!U20</f>
        <v>5000000</v>
      </c>
      <c r="V19" s="290">
        <f>'4.sz.m.ÖNK kiadás'!V20</f>
        <v>6500000</v>
      </c>
      <c r="W19" s="290">
        <f>'4.sz.m.ÖNK kiadás'!W20</f>
        <v>6500000</v>
      </c>
      <c r="X19" s="290">
        <f>'4.sz.m.ÖNK kiadás'!X20</f>
        <v>0</v>
      </c>
      <c r="Y19" s="352">
        <v>0</v>
      </c>
      <c r="Z19" s="290"/>
      <c r="AA19" s="290"/>
      <c r="AB19" s="290"/>
      <c r="AC19" s="290"/>
      <c r="AD19" s="290"/>
      <c r="AE19" s="851"/>
    </row>
    <row r="20" spans="1:31" s="5" customFormat="1" ht="33" customHeight="1">
      <c r="A20" s="97"/>
      <c r="B20" s="101"/>
      <c r="C20" s="101" t="s">
        <v>98</v>
      </c>
      <c r="D20" s="246" t="s">
        <v>88</v>
      </c>
      <c r="E20" s="352">
        <f>'4.sz.m.ÖNK kiadás'!E21</f>
        <v>5000000</v>
      </c>
      <c r="F20" s="290">
        <f>'4.sz.m.ÖNK kiadás'!F21</f>
        <v>5000000</v>
      </c>
      <c r="G20" s="290">
        <f>'4.sz.m.ÖNK kiadás'!G21</f>
        <v>5000000</v>
      </c>
      <c r="H20" s="290">
        <f>'4.sz.m.ÖNK kiadás'!H21</f>
        <v>5000000</v>
      </c>
      <c r="I20" s="290">
        <f>'4.sz.m.ÖNK kiadás'!I21</f>
        <v>5000000</v>
      </c>
      <c r="J20" s="290">
        <f>'4.sz.m.ÖNK kiadás'!J21</f>
        <v>0</v>
      </c>
      <c r="K20" s="352">
        <f>'4.sz.m.ÖNK kiadás'!L21</f>
        <v>0</v>
      </c>
      <c r="L20" s="290">
        <f>'4.sz.m.ÖNK kiadás'!M21</f>
        <v>0</v>
      </c>
      <c r="M20" s="290">
        <f>'4.sz.m.ÖNK kiadás'!N21</f>
        <v>0</v>
      </c>
      <c r="N20" s="290">
        <f>'4.sz.m.ÖNK kiadás'!O21</f>
        <v>0</v>
      </c>
      <c r="O20" s="290">
        <f>'4.sz.m.ÖNK kiadás'!P21</f>
        <v>0</v>
      </c>
      <c r="P20" s="290">
        <f>'4.sz.m.ÖNK kiadás'!P21</f>
        <v>0</v>
      </c>
      <c r="Q20" s="290">
        <f>'4.sz.m.ÖNK kiadás'!Q21</f>
        <v>0</v>
      </c>
      <c r="R20" s="772"/>
      <c r="S20" s="352">
        <f>'4.sz.m.ÖNK kiadás'!S21</f>
        <v>5000000</v>
      </c>
      <c r="T20" s="290">
        <f>'4.sz.m.ÖNK kiadás'!T21</f>
        <v>5000000</v>
      </c>
      <c r="U20" s="290">
        <f>'4.sz.m.ÖNK kiadás'!U21</f>
        <v>5000000</v>
      </c>
      <c r="V20" s="290">
        <f>'4.sz.m.ÖNK kiadás'!V21</f>
        <v>5000000</v>
      </c>
      <c r="W20" s="290">
        <f>'4.sz.m.ÖNK kiadás'!W21</f>
        <v>5000000</v>
      </c>
      <c r="X20" s="290">
        <f>'4.sz.m.ÖNK kiadás'!X21</f>
        <v>0</v>
      </c>
      <c r="Y20" s="352">
        <v>0</v>
      </c>
      <c r="Z20" s="290"/>
      <c r="AA20" s="290"/>
      <c r="AB20" s="290"/>
      <c r="AC20" s="290"/>
      <c r="AD20" s="290"/>
      <c r="AE20" s="851"/>
    </row>
    <row r="21" spans="1:31" s="5" customFormat="1" ht="33" customHeight="1">
      <c r="A21" s="97"/>
      <c r="B21" s="101"/>
      <c r="C21" s="101" t="s">
        <v>99</v>
      </c>
      <c r="D21" s="246" t="s">
        <v>89</v>
      </c>
      <c r="E21" s="352">
        <f>'4.sz.m.ÖNK kiadás'!E22</f>
        <v>0</v>
      </c>
      <c r="F21" s="290">
        <f>'4.sz.m.ÖNK kiadás'!F22</f>
        <v>0</v>
      </c>
      <c r="G21" s="290">
        <f>'4.sz.m.ÖNK kiadás'!G22</f>
        <v>0</v>
      </c>
      <c r="H21" s="290">
        <f>'4.sz.m.ÖNK kiadás'!H22</f>
        <v>44859259</v>
      </c>
      <c r="I21" s="290">
        <f>'4.sz.m.ÖNK kiadás'!I22</f>
        <v>44859259</v>
      </c>
      <c r="J21" s="290">
        <f>'4.sz.m.ÖNK kiadás'!J22</f>
        <v>0</v>
      </c>
      <c r="K21" s="352">
        <f>'4.sz.m.ÖNK kiadás'!L22</f>
        <v>0</v>
      </c>
      <c r="L21" s="290">
        <f>'4.sz.m.ÖNK kiadás'!M22</f>
        <v>0</v>
      </c>
      <c r="M21" s="290">
        <f>'4.sz.m.ÖNK kiadás'!N22</f>
        <v>0</v>
      </c>
      <c r="N21" s="290">
        <f>'4.sz.m.ÖNK kiadás'!O22</f>
        <v>44859259</v>
      </c>
      <c r="O21" s="290">
        <f>'4.sz.m.ÖNK kiadás'!P22</f>
        <v>44859259</v>
      </c>
      <c r="P21" s="290">
        <f>'4.sz.m.ÖNK kiadás'!P22</f>
        <v>44859259</v>
      </c>
      <c r="Q21" s="290">
        <f>'4.sz.m.ÖNK kiadás'!Q22</f>
        <v>0</v>
      </c>
      <c r="R21" s="772"/>
      <c r="S21" s="352">
        <v>0</v>
      </c>
      <c r="T21" s="290"/>
      <c r="U21" s="290"/>
      <c r="V21" s="290"/>
      <c r="W21" s="290"/>
      <c r="X21" s="290"/>
      <c r="Y21" s="352">
        <v>0</v>
      </c>
      <c r="Z21" s="290"/>
      <c r="AA21" s="290"/>
      <c r="AB21" s="290"/>
      <c r="AC21" s="290"/>
      <c r="AD21" s="290"/>
      <c r="AE21" s="851"/>
    </row>
    <row r="22" spans="1:31" s="5" customFormat="1" ht="33" customHeight="1">
      <c r="A22" s="121"/>
      <c r="B22" s="246"/>
      <c r="C22" s="101" t="s">
        <v>100</v>
      </c>
      <c r="D22" s="246" t="s">
        <v>573</v>
      </c>
      <c r="E22" s="352">
        <f>'4.sz.m.ÖNK kiadás'!E23</f>
        <v>0</v>
      </c>
      <c r="F22" s="290">
        <f>'4.sz.m.ÖNK kiadás'!F23</f>
        <v>0</v>
      </c>
      <c r="G22" s="290">
        <f>'4.sz.m.ÖNK kiadás'!G23</f>
        <v>0</v>
      </c>
      <c r="H22" s="290">
        <f>'4.sz.m.ÖNK kiadás'!H23</f>
        <v>1500000</v>
      </c>
      <c r="I22" s="290">
        <f>'4.sz.m.ÖNK kiadás'!I23</f>
        <v>1500000</v>
      </c>
      <c r="J22" s="290">
        <f>'4.sz.m.ÖNK kiadás'!J23</f>
        <v>0</v>
      </c>
      <c r="K22" s="352">
        <f>'4.sz.m.ÖNK kiadás'!L23</f>
        <v>0</v>
      </c>
      <c r="L22" s="290">
        <f>'4.sz.m.ÖNK kiadás'!M23</f>
        <v>0</v>
      </c>
      <c r="M22" s="290">
        <f>'4.sz.m.ÖNK kiadás'!N23</f>
        <v>0</v>
      </c>
      <c r="N22" s="290">
        <f>'4.sz.m.ÖNK kiadás'!O23</f>
        <v>0</v>
      </c>
      <c r="O22" s="290">
        <f>'4.sz.m.ÖNK kiadás'!P23</f>
        <v>0</v>
      </c>
      <c r="P22" s="290">
        <f>'4.sz.m.ÖNK kiadás'!P23</f>
        <v>0</v>
      </c>
      <c r="Q22" s="290">
        <f>'4.sz.m.ÖNK kiadás'!Q23</f>
        <v>0</v>
      </c>
      <c r="R22" s="772"/>
      <c r="S22" s="352">
        <v>0</v>
      </c>
      <c r="T22" s="290"/>
      <c r="U22" s="290"/>
      <c r="V22" s="290">
        <f>'4.sz.m.ÖNK kiadás'!V23</f>
        <v>1500000</v>
      </c>
      <c r="W22" s="290"/>
      <c r="X22" s="290"/>
      <c r="Y22" s="352">
        <v>0</v>
      </c>
      <c r="Z22" s="290"/>
      <c r="AA22" s="290"/>
      <c r="AB22" s="290"/>
      <c r="AC22" s="290"/>
      <c r="AD22" s="290"/>
      <c r="AE22" s="851"/>
    </row>
    <row r="23" spans="1:31" s="5" customFormat="1" ht="33" customHeight="1" thickBot="1">
      <c r="A23" s="270"/>
      <c r="B23" s="271"/>
      <c r="C23" s="272" t="s">
        <v>210</v>
      </c>
      <c r="D23" s="271" t="s">
        <v>211</v>
      </c>
      <c r="E23" s="352">
        <f>'4.sz.m.ÖNK kiadás'!E24</f>
        <v>0</v>
      </c>
      <c r="F23" s="290">
        <f>'4.sz.m.ÖNK kiadás'!F24</f>
        <v>0</v>
      </c>
      <c r="G23" s="290">
        <f>'4.sz.m.ÖNK kiadás'!G24</f>
        <v>0</v>
      </c>
      <c r="H23" s="290">
        <f>'4.sz.m.ÖNK kiadás'!H24</f>
        <v>0</v>
      </c>
      <c r="I23" s="290">
        <f>'4.sz.m.ÖNK kiadás'!I24</f>
        <v>0</v>
      </c>
      <c r="J23" s="290">
        <f>'4.sz.m.ÖNK kiadás'!J24</f>
        <v>0</v>
      </c>
      <c r="K23" s="352">
        <f>'4.sz.m.ÖNK kiadás'!L24</f>
        <v>0</v>
      </c>
      <c r="L23" s="290">
        <f>'4.sz.m.ÖNK kiadás'!M24</f>
        <v>0</v>
      </c>
      <c r="M23" s="290">
        <f>'4.sz.m.ÖNK kiadás'!N24</f>
        <v>0</v>
      </c>
      <c r="N23" s="290">
        <f>'4.sz.m.ÖNK kiadás'!O24</f>
        <v>0</v>
      </c>
      <c r="O23" s="290">
        <f>'4.sz.m.ÖNK kiadás'!P24</f>
        <v>0</v>
      </c>
      <c r="P23" s="290">
        <f>'4.sz.m.ÖNK kiadás'!P24</f>
        <v>0</v>
      </c>
      <c r="Q23" s="290">
        <f>'4.sz.m.ÖNK kiadás'!Q24</f>
        <v>0</v>
      </c>
      <c r="R23" s="772"/>
      <c r="S23" s="352">
        <v>0</v>
      </c>
      <c r="T23" s="290"/>
      <c r="U23" s="290"/>
      <c r="V23" s="290"/>
      <c r="W23" s="290"/>
      <c r="X23" s="290"/>
      <c r="Y23" s="352">
        <v>0</v>
      </c>
      <c r="Z23" s="290"/>
      <c r="AA23" s="290"/>
      <c r="AB23" s="290"/>
      <c r="AC23" s="290"/>
      <c r="AD23" s="290"/>
      <c r="AE23" s="851"/>
    </row>
    <row r="24" spans="1:31" s="5" customFormat="1" ht="33" customHeight="1" thickBot="1">
      <c r="A24" s="109" t="s">
        <v>10</v>
      </c>
      <c r="B24" s="1050" t="s">
        <v>101</v>
      </c>
      <c r="C24" s="1050"/>
      <c r="D24" s="1050"/>
      <c r="E24" s="353">
        <f aca="true" t="shared" si="9" ref="E24:M24">SUM(E25:E27)</f>
        <v>87607657</v>
      </c>
      <c r="F24" s="73">
        <f>SUM(F25:F27)</f>
        <v>58656600</v>
      </c>
      <c r="G24" s="73">
        <f t="shared" si="9"/>
        <v>59503503</v>
      </c>
      <c r="H24" s="73">
        <f>SUM(H25:H27)</f>
        <v>19959710</v>
      </c>
      <c r="I24" s="73">
        <f>SUM(I25:I27)</f>
        <v>19982585</v>
      </c>
      <c r="J24" s="73">
        <f>SUM(J25:J27)</f>
        <v>0</v>
      </c>
      <c r="K24" s="353">
        <f t="shared" si="9"/>
        <v>87607657</v>
      </c>
      <c r="L24" s="73">
        <f>SUM(L25:L27)</f>
        <v>58656600</v>
      </c>
      <c r="M24" s="73">
        <f t="shared" si="9"/>
        <v>59503503</v>
      </c>
      <c r="N24" s="73">
        <f>SUM(N25:N27)</f>
        <v>19959710</v>
      </c>
      <c r="O24" s="73">
        <f>SUM(O25:O27)</f>
        <v>19982585</v>
      </c>
      <c r="P24" s="73">
        <f>SUM(P25:P27)</f>
        <v>19982585</v>
      </c>
      <c r="Q24" s="73">
        <f>SUM(Q25:Q27)</f>
        <v>0</v>
      </c>
      <c r="R24" s="770">
        <f t="shared" si="4"/>
        <v>1.0011460587353223</v>
      </c>
      <c r="S24" s="353">
        <f aca="true" t="shared" si="10" ref="S24:AA24">SUM(S25:S27)</f>
        <v>0</v>
      </c>
      <c r="T24" s="73">
        <f>SUM(T25:T27)</f>
        <v>0</v>
      </c>
      <c r="U24" s="73">
        <f>SUM(U25:U27)</f>
        <v>0</v>
      </c>
      <c r="V24" s="73">
        <f>SUM(V25:V27)</f>
        <v>0</v>
      </c>
      <c r="W24" s="73">
        <f>SUM(W25:W27)</f>
        <v>0</v>
      </c>
      <c r="X24" s="73">
        <f>SUM(X25:X27)</f>
        <v>0</v>
      </c>
      <c r="Y24" s="353">
        <f t="shared" si="10"/>
        <v>0</v>
      </c>
      <c r="Z24" s="73">
        <f t="shared" si="10"/>
        <v>0</v>
      </c>
      <c r="AA24" s="73">
        <f t="shared" si="10"/>
        <v>0</v>
      </c>
      <c r="AB24" s="73">
        <f>SUM(AB25:AB27)</f>
        <v>0</v>
      </c>
      <c r="AC24" s="73">
        <f>SUM(AC25:AC27)</f>
        <v>0</v>
      </c>
      <c r="AD24" s="73">
        <f>SUM(AD25:AD27)</f>
        <v>0</v>
      </c>
      <c r="AE24" s="852">
        <f>SUM(AE25:AE27)</f>
        <v>0</v>
      </c>
    </row>
    <row r="25" spans="1:31" s="5" customFormat="1" ht="33" customHeight="1">
      <c r="A25" s="108"/>
      <c r="B25" s="113" t="s">
        <v>43</v>
      </c>
      <c r="C25" s="1057" t="s">
        <v>3</v>
      </c>
      <c r="D25" s="1057"/>
      <c r="E25" s="352">
        <f>'4.sz.m.ÖNK kiadás'!E26</f>
        <v>87607657</v>
      </c>
      <c r="F25" s="290">
        <f>'4.sz.m.ÖNK kiadás'!F26</f>
        <v>58656600</v>
      </c>
      <c r="G25" s="290">
        <f>'4.sz.m.ÖNK kiadás'!G26</f>
        <v>59503503</v>
      </c>
      <c r="H25" s="290">
        <f>'4.sz.m.ÖNK kiadás'!H26</f>
        <v>19959710</v>
      </c>
      <c r="I25" s="290">
        <f>'4.sz.m.ÖNK kiadás'!I26</f>
        <v>19982585</v>
      </c>
      <c r="J25" s="290">
        <f>'4.sz.m.ÖNK kiadás'!J26</f>
        <v>0</v>
      </c>
      <c r="K25" s="352">
        <f>'4.sz.m.ÖNK kiadás'!L26</f>
        <v>87607657</v>
      </c>
      <c r="L25" s="290">
        <f>'4.sz.m.ÖNK kiadás'!M26</f>
        <v>58656600</v>
      </c>
      <c r="M25" s="290">
        <f>'4.sz.m.ÖNK kiadás'!N26</f>
        <v>59503503</v>
      </c>
      <c r="N25" s="290">
        <f>'4.sz.m.ÖNK kiadás'!O26</f>
        <v>19959710</v>
      </c>
      <c r="O25" s="290">
        <f>'4.sz.m.ÖNK kiadás'!P26</f>
        <v>19982585</v>
      </c>
      <c r="P25" s="290">
        <f>'4.sz.m.ÖNK kiadás'!P26</f>
        <v>19982585</v>
      </c>
      <c r="Q25" s="290">
        <f>'4.sz.m.ÖNK kiadás'!Q26</f>
        <v>0</v>
      </c>
      <c r="R25" s="772">
        <f t="shared" si="4"/>
        <v>1.0011460587353223</v>
      </c>
      <c r="S25" s="352">
        <v>0</v>
      </c>
      <c r="T25" s="290"/>
      <c r="U25" s="290"/>
      <c r="V25" s="290"/>
      <c r="W25" s="290"/>
      <c r="X25" s="290"/>
      <c r="Y25" s="352">
        <v>0</v>
      </c>
      <c r="Z25" s="290"/>
      <c r="AA25" s="290"/>
      <c r="AB25" s="290"/>
      <c r="AC25" s="290"/>
      <c r="AD25" s="290"/>
      <c r="AE25" s="851"/>
    </row>
    <row r="26" spans="1:31" s="8" customFormat="1" ht="33" customHeight="1">
      <c r="A26" s="122"/>
      <c r="B26" s="100" t="s">
        <v>44</v>
      </c>
      <c r="C26" s="1067" t="s">
        <v>287</v>
      </c>
      <c r="D26" s="1067"/>
      <c r="E26" s="352">
        <v>0</v>
      </c>
      <c r="F26" s="290"/>
      <c r="G26" s="290"/>
      <c r="H26" s="290"/>
      <c r="I26" s="290"/>
      <c r="J26" s="290"/>
      <c r="K26" s="352">
        <v>0</v>
      </c>
      <c r="L26" s="290"/>
      <c r="M26" s="290"/>
      <c r="N26" s="290"/>
      <c r="O26" s="290"/>
      <c r="P26" s="290"/>
      <c r="Q26" s="290"/>
      <c r="R26" s="772"/>
      <c r="S26" s="352">
        <v>0</v>
      </c>
      <c r="T26" s="290"/>
      <c r="U26" s="290"/>
      <c r="V26" s="290"/>
      <c r="W26" s="290"/>
      <c r="X26" s="290"/>
      <c r="Y26" s="352">
        <v>0</v>
      </c>
      <c r="Z26" s="290"/>
      <c r="AA26" s="290"/>
      <c r="AB26" s="290"/>
      <c r="AC26" s="290"/>
      <c r="AD26" s="290"/>
      <c r="AE26" s="851"/>
    </row>
    <row r="27" spans="1:31" s="8" customFormat="1" ht="33" customHeight="1" thickBot="1">
      <c r="A27" s="128"/>
      <c r="B27" s="114" t="s">
        <v>69</v>
      </c>
      <c r="C27" s="129" t="s">
        <v>102</v>
      </c>
      <c r="D27" s="129"/>
      <c r="E27" s="352">
        <v>0</v>
      </c>
      <c r="F27" s="290"/>
      <c r="G27" s="290"/>
      <c r="H27" s="290"/>
      <c r="I27" s="290"/>
      <c r="J27" s="290"/>
      <c r="K27" s="352">
        <v>0</v>
      </c>
      <c r="L27" s="290"/>
      <c r="M27" s="290"/>
      <c r="N27" s="290"/>
      <c r="O27" s="290"/>
      <c r="P27" s="290"/>
      <c r="Q27" s="290"/>
      <c r="R27" s="772"/>
      <c r="S27" s="352">
        <v>0</v>
      </c>
      <c r="T27" s="290"/>
      <c r="U27" s="290"/>
      <c r="V27" s="290"/>
      <c r="W27" s="290"/>
      <c r="X27" s="290"/>
      <c r="Y27" s="352">
        <v>0</v>
      </c>
      <c r="Z27" s="290"/>
      <c r="AA27" s="290"/>
      <c r="AB27" s="290"/>
      <c r="AC27" s="290"/>
      <c r="AD27" s="290"/>
      <c r="AE27" s="851"/>
    </row>
    <row r="28" spans="1:31" s="8" customFormat="1" ht="33" customHeight="1" thickBot="1">
      <c r="A28" s="89" t="s">
        <v>11</v>
      </c>
      <c r="B28" s="115" t="s">
        <v>103</v>
      </c>
      <c r="C28" s="115"/>
      <c r="D28" s="115"/>
      <c r="E28" s="354">
        <v>0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354">
        <v>0</v>
      </c>
      <c r="L28" s="355">
        <v>0</v>
      </c>
      <c r="M28" s="355">
        <v>0</v>
      </c>
      <c r="N28" s="355">
        <v>0</v>
      </c>
      <c r="O28" s="355">
        <v>0</v>
      </c>
      <c r="P28" s="355"/>
      <c r="Q28" s="355"/>
      <c r="R28" s="773"/>
      <c r="S28" s="354">
        <v>0</v>
      </c>
      <c r="T28" s="355"/>
      <c r="U28" s="355"/>
      <c r="V28" s="355"/>
      <c r="W28" s="355"/>
      <c r="X28" s="355"/>
      <c r="Y28" s="354">
        <v>0</v>
      </c>
      <c r="Z28" s="355"/>
      <c r="AA28" s="355"/>
      <c r="AB28" s="355"/>
      <c r="AC28" s="355"/>
      <c r="AD28" s="355"/>
      <c r="AE28" s="853"/>
    </row>
    <row r="29" spans="1:31" s="8" customFormat="1" ht="33" customHeight="1" thickBot="1">
      <c r="A29" s="109" t="s">
        <v>12</v>
      </c>
      <c r="B29" s="1031" t="s">
        <v>104</v>
      </c>
      <c r="C29" s="1031"/>
      <c r="D29" s="1031"/>
      <c r="E29" s="351">
        <f aca="true" t="shared" si="11" ref="E29:M29">E5+E16+E24+E28</f>
        <v>608113858</v>
      </c>
      <c r="F29" s="288">
        <f t="shared" si="11"/>
        <v>579343858</v>
      </c>
      <c r="G29" s="288">
        <f t="shared" si="11"/>
        <v>579403358</v>
      </c>
      <c r="H29" s="288">
        <f t="shared" si="11"/>
        <v>595519804</v>
      </c>
      <c r="I29" s="288">
        <f>I5+I16+I24+I28</f>
        <v>597475670</v>
      </c>
      <c r="J29" s="288">
        <f t="shared" si="11"/>
        <v>0</v>
      </c>
      <c r="K29" s="351">
        <f t="shared" si="11"/>
        <v>587466065</v>
      </c>
      <c r="L29" s="288">
        <f t="shared" si="11"/>
        <v>558696065</v>
      </c>
      <c r="M29" s="288">
        <f t="shared" si="11"/>
        <v>558745565</v>
      </c>
      <c r="N29" s="288">
        <f>N5+N16+N24+N28</f>
        <v>573132011</v>
      </c>
      <c r="O29" s="288">
        <f>O5+O16+O24+O28</f>
        <v>575087877</v>
      </c>
      <c r="P29" s="288">
        <f>P5+P16+P24+P28</f>
        <v>575087877</v>
      </c>
      <c r="Q29" s="288">
        <f>Q5+Q16+Q24+Q28</f>
        <v>0</v>
      </c>
      <c r="R29" s="766">
        <f t="shared" si="4"/>
        <v>1.0034125924960768</v>
      </c>
      <c r="S29" s="351">
        <f aca="true" t="shared" si="12" ref="S29:AE29">S5+S16+S24+S28</f>
        <v>20647793</v>
      </c>
      <c r="T29" s="288">
        <f t="shared" si="12"/>
        <v>20647793</v>
      </c>
      <c r="U29" s="288">
        <f>U5+U16+U24+U28</f>
        <v>20657793</v>
      </c>
      <c r="V29" s="288">
        <f t="shared" si="12"/>
        <v>22387793</v>
      </c>
      <c r="W29" s="288">
        <f t="shared" si="12"/>
        <v>22387793</v>
      </c>
      <c r="X29" s="288">
        <f t="shared" si="12"/>
        <v>0</v>
      </c>
      <c r="Y29" s="351">
        <f t="shared" si="12"/>
        <v>4847310</v>
      </c>
      <c r="Z29" s="288">
        <f t="shared" si="12"/>
        <v>4847310</v>
      </c>
      <c r="AA29" s="288">
        <f t="shared" si="12"/>
        <v>4847310</v>
      </c>
      <c r="AB29" s="288">
        <f t="shared" si="12"/>
        <v>4847310</v>
      </c>
      <c r="AC29" s="288">
        <f t="shared" si="12"/>
        <v>4847310</v>
      </c>
      <c r="AD29" s="288">
        <f t="shared" si="12"/>
        <v>0</v>
      </c>
      <c r="AE29" s="850">
        <f t="shared" si="12"/>
        <v>0</v>
      </c>
    </row>
    <row r="30" spans="1:31" s="8" customFormat="1" ht="33" customHeight="1" thickBot="1">
      <c r="A30" s="87" t="s">
        <v>13</v>
      </c>
      <c r="B30" s="1049" t="s">
        <v>212</v>
      </c>
      <c r="C30" s="1049"/>
      <c r="D30" s="1049"/>
      <c r="E30" s="356">
        <f>SUM(E31:E33)</f>
        <v>8964221</v>
      </c>
      <c r="F30" s="356">
        <f aca="true" t="shared" si="13" ref="F30:M30">SUM(F31:F33)</f>
        <v>37734221</v>
      </c>
      <c r="G30" s="356">
        <f t="shared" si="13"/>
        <v>37734221</v>
      </c>
      <c r="H30" s="356">
        <f>SUM(H31:H33)</f>
        <v>38490156</v>
      </c>
      <c r="I30" s="356">
        <f>SUM(I31:I33)</f>
        <v>38490156</v>
      </c>
      <c r="J30" s="356">
        <f t="shared" si="13"/>
        <v>0</v>
      </c>
      <c r="K30" s="356">
        <f t="shared" si="13"/>
        <v>8964221</v>
      </c>
      <c r="L30" s="112">
        <f t="shared" si="13"/>
        <v>37734221</v>
      </c>
      <c r="M30" s="112">
        <f t="shared" si="13"/>
        <v>37734221</v>
      </c>
      <c r="N30" s="112">
        <f>SUM(N31:N33)</f>
        <v>38490156</v>
      </c>
      <c r="O30" s="112">
        <f>SUM(O31:O33)</f>
        <v>38490156</v>
      </c>
      <c r="P30" s="112">
        <f>SUM(P31:P33)</f>
        <v>8964221</v>
      </c>
      <c r="Q30" s="112">
        <f>SUM(Q31:Q33)</f>
        <v>0</v>
      </c>
      <c r="R30" s="766">
        <f t="shared" si="4"/>
        <v>0.23289645799305153</v>
      </c>
      <c r="S30" s="356"/>
      <c r="T30" s="112"/>
      <c r="U30" s="112"/>
      <c r="V30" s="112"/>
      <c r="W30" s="112"/>
      <c r="X30" s="112"/>
      <c r="Y30" s="356"/>
      <c r="Z30" s="112"/>
      <c r="AA30" s="112"/>
      <c r="AB30" s="112"/>
      <c r="AC30" s="112"/>
      <c r="AD30" s="112"/>
      <c r="AE30" s="854"/>
    </row>
    <row r="31" spans="1:31" s="5" customFormat="1" ht="33" customHeight="1">
      <c r="A31" s="131"/>
      <c r="B31" s="113" t="s">
        <v>47</v>
      </c>
      <c r="C31" s="1032" t="s">
        <v>289</v>
      </c>
      <c r="D31" s="1032"/>
      <c r="E31" s="352">
        <v>0</v>
      </c>
      <c r="F31" s="290"/>
      <c r="G31" s="290"/>
      <c r="H31" s="290">
        <f>'4.sz.m.ÖNK kiadás'!H33</f>
        <v>755935</v>
      </c>
      <c r="I31" s="290">
        <f>'4.sz.m.ÖNK kiadás'!I33</f>
        <v>755935</v>
      </c>
      <c r="J31" s="290"/>
      <c r="K31" s="352">
        <v>0</v>
      </c>
      <c r="L31" s="290"/>
      <c r="M31" s="290"/>
      <c r="N31" s="290">
        <f>'4.sz.m.ÖNK kiadás'!O33</f>
        <v>755935</v>
      </c>
      <c r="O31" s="290">
        <f>'4.sz.m.ÖNK kiadás'!P33</f>
        <v>755935</v>
      </c>
      <c r="P31" s="290"/>
      <c r="Q31" s="290"/>
      <c r="R31" s="772"/>
      <c r="S31" s="352">
        <v>0</v>
      </c>
      <c r="T31" s="290"/>
      <c r="U31" s="290"/>
      <c r="V31" s="290"/>
      <c r="W31" s="290"/>
      <c r="X31" s="290"/>
      <c r="Y31" s="352">
        <v>0</v>
      </c>
      <c r="Z31" s="290"/>
      <c r="AA31" s="290"/>
      <c r="AB31" s="290"/>
      <c r="AC31" s="290"/>
      <c r="AD31" s="290"/>
      <c r="AE31" s="851"/>
    </row>
    <row r="32" spans="1:31" s="5" customFormat="1" ht="33" customHeight="1">
      <c r="A32" s="127"/>
      <c r="B32" s="114" t="s">
        <v>333</v>
      </c>
      <c r="C32" s="1048" t="s">
        <v>548</v>
      </c>
      <c r="D32" s="1048"/>
      <c r="E32" s="357">
        <v>0</v>
      </c>
      <c r="F32" s="130">
        <f>'4.sz.m.ÖNK kiadás'!F34</f>
        <v>28770000</v>
      </c>
      <c r="G32" s="130">
        <f>'4.sz.m.ÖNK kiadás'!G34</f>
        <v>28770000</v>
      </c>
      <c r="H32" s="130">
        <f>'4.sz.m.ÖNK kiadás'!H34</f>
        <v>28770000</v>
      </c>
      <c r="I32" s="130">
        <f>'4.sz.m.ÖNK kiadás'!I34</f>
        <v>28770000</v>
      </c>
      <c r="J32" s="130"/>
      <c r="K32" s="357">
        <v>0</v>
      </c>
      <c r="L32" s="130">
        <f>'4.sz.m.ÖNK kiadás'!M34</f>
        <v>28770000</v>
      </c>
      <c r="M32" s="130">
        <f>'4.sz.m.ÖNK kiadás'!N34</f>
        <v>28770000</v>
      </c>
      <c r="N32" s="130">
        <f>'4.sz.m.ÖNK kiadás'!O34</f>
        <v>28770000</v>
      </c>
      <c r="O32" s="130">
        <f>'4.sz.m.ÖNK kiadás'!P34</f>
        <v>28770000</v>
      </c>
      <c r="P32" s="130"/>
      <c r="Q32" s="130"/>
      <c r="R32" s="776"/>
      <c r="S32" s="357">
        <v>0</v>
      </c>
      <c r="T32" s="130"/>
      <c r="U32" s="130"/>
      <c r="V32" s="130"/>
      <c r="W32" s="130"/>
      <c r="X32" s="130"/>
      <c r="Y32" s="357">
        <v>0</v>
      </c>
      <c r="Z32" s="130"/>
      <c r="AA32" s="130"/>
      <c r="AB32" s="130"/>
      <c r="AC32" s="130"/>
      <c r="AD32" s="130"/>
      <c r="AE32" s="855"/>
    </row>
    <row r="33" spans="1:31" s="5" customFormat="1" ht="33" customHeight="1" thickBot="1">
      <c r="A33" s="127"/>
      <c r="B33" s="114" t="s">
        <v>477</v>
      </c>
      <c r="C33" s="1056" t="s">
        <v>476</v>
      </c>
      <c r="D33" s="1056"/>
      <c r="E33" s="357">
        <f>'4.sz.m.ÖNK kiadás'!E36</f>
        <v>8964221</v>
      </c>
      <c r="F33" s="130">
        <f>'4.sz.m.ÖNK kiadás'!F36</f>
        <v>8964221</v>
      </c>
      <c r="G33" s="130">
        <f>'4.sz.m.ÖNK kiadás'!G36</f>
        <v>8964221</v>
      </c>
      <c r="H33" s="130">
        <f>'4.sz.m.ÖNK kiadás'!H36</f>
        <v>8964221</v>
      </c>
      <c r="I33" s="130">
        <f>'4.sz.m.ÖNK kiadás'!I36</f>
        <v>8964221</v>
      </c>
      <c r="J33" s="130">
        <f>'4.sz.m.ÖNK kiadás'!J36</f>
        <v>0</v>
      </c>
      <c r="K33" s="357">
        <f>'4.sz.m.ÖNK kiadás'!L36</f>
        <v>8964221</v>
      </c>
      <c r="L33" s="130">
        <f>'4.sz.m.ÖNK kiadás'!M36</f>
        <v>8964221</v>
      </c>
      <c r="M33" s="130">
        <f>'4.sz.m.ÖNK kiadás'!N36</f>
        <v>8964221</v>
      </c>
      <c r="N33" s="130">
        <f>'4.sz.m.ÖNK kiadás'!O36</f>
        <v>8964221</v>
      </c>
      <c r="O33" s="130">
        <f>'4.sz.m.ÖNK kiadás'!P36</f>
        <v>8964221</v>
      </c>
      <c r="P33" s="130">
        <f>I33</f>
        <v>8964221</v>
      </c>
      <c r="Q33" s="130">
        <f>J33</f>
        <v>0</v>
      </c>
      <c r="R33" s="772">
        <f t="shared" si="4"/>
        <v>1</v>
      </c>
      <c r="S33" s="357">
        <v>0</v>
      </c>
      <c r="T33" s="130"/>
      <c r="U33" s="130"/>
      <c r="V33" s="130"/>
      <c r="W33" s="130"/>
      <c r="X33" s="130"/>
      <c r="Y33" s="357">
        <v>0</v>
      </c>
      <c r="Z33" s="130"/>
      <c r="AA33" s="130"/>
      <c r="AB33" s="130"/>
      <c r="AC33" s="130"/>
      <c r="AD33" s="130"/>
      <c r="AE33" s="855"/>
    </row>
    <row r="34" spans="1:31" s="5" customFormat="1" ht="33" customHeight="1" thickBot="1">
      <c r="A34" s="371" t="s">
        <v>14</v>
      </c>
      <c r="B34" s="1058" t="s">
        <v>241</v>
      </c>
      <c r="C34" s="1058"/>
      <c r="D34" s="1058"/>
      <c r="E34" s="372">
        <f>E29+E30</f>
        <v>617078079</v>
      </c>
      <c r="F34" s="373">
        <f>F29+F30</f>
        <v>617078079</v>
      </c>
      <c r="G34" s="373">
        <f aca="true" t="shared" si="14" ref="G34:M34">G29+G30</f>
        <v>617137579</v>
      </c>
      <c r="H34" s="373">
        <f>H29+H30</f>
        <v>634009960</v>
      </c>
      <c r="I34" s="373">
        <f>I29+I30</f>
        <v>635965826</v>
      </c>
      <c r="J34" s="373">
        <f>J29+J30</f>
        <v>0</v>
      </c>
      <c r="K34" s="372">
        <f t="shared" si="14"/>
        <v>596430286</v>
      </c>
      <c r="L34" s="373">
        <f>L29+L30</f>
        <v>596430286</v>
      </c>
      <c r="M34" s="373">
        <f t="shared" si="14"/>
        <v>596479786</v>
      </c>
      <c r="N34" s="373">
        <f>N29+N30</f>
        <v>611622167</v>
      </c>
      <c r="O34" s="373">
        <f>O29+O30</f>
        <v>613578033</v>
      </c>
      <c r="P34" s="373">
        <f>P29+P30</f>
        <v>584052098</v>
      </c>
      <c r="Q34" s="373">
        <f>Q29+Q30</f>
        <v>0</v>
      </c>
      <c r="R34" s="777">
        <f t="shared" si="4"/>
        <v>0.9549230382946535</v>
      </c>
      <c r="S34" s="372">
        <f aca="true" t="shared" si="15" ref="S34:AA34">S29+S30</f>
        <v>20647793</v>
      </c>
      <c r="T34" s="373">
        <f>T29+T30</f>
        <v>20647793</v>
      </c>
      <c r="U34" s="373">
        <f>U29+U30</f>
        <v>20657793</v>
      </c>
      <c r="V34" s="373">
        <f>V29+V30</f>
        <v>22387793</v>
      </c>
      <c r="W34" s="373">
        <f>W29+W30</f>
        <v>22387793</v>
      </c>
      <c r="X34" s="373">
        <f>X29+X30</f>
        <v>0</v>
      </c>
      <c r="Y34" s="372">
        <f t="shared" si="15"/>
        <v>4847310</v>
      </c>
      <c r="Z34" s="373">
        <f t="shared" si="15"/>
        <v>4847310</v>
      </c>
      <c r="AA34" s="373">
        <f t="shared" si="15"/>
        <v>4847310</v>
      </c>
      <c r="AB34" s="373">
        <f>AB29+AB30</f>
        <v>4847310</v>
      </c>
      <c r="AC34" s="373">
        <f>AC29+AC30</f>
        <v>4847310</v>
      </c>
      <c r="AD34" s="373">
        <f>AD29+AD30</f>
        <v>0</v>
      </c>
      <c r="AE34" s="856">
        <f>AE29+AE30</f>
        <v>0</v>
      </c>
    </row>
    <row r="35" spans="1:31" s="5" customFormat="1" ht="33" customHeight="1" hidden="1" thickBot="1">
      <c r="A35" s="1054" t="s">
        <v>242</v>
      </c>
      <c r="B35" s="1055"/>
      <c r="C35" s="1055"/>
      <c r="D35" s="1055"/>
      <c r="E35" s="439"/>
      <c r="F35" s="374"/>
      <c r="G35" s="374"/>
      <c r="H35" s="374"/>
      <c r="I35" s="374"/>
      <c r="J35" s="374"/>
      <c r="K35" s="439"/>
      <c r="L35" s="374"/>
      <c r="M35" s="374"/>
      <c r="N35" s="374"/>
      <c r="O35" s="374"/>
      <c r="P35" s="374"/>
      <c r="Q35" s="374"/>
      <c r="R35" s="776"/>
      <c r="S35" s="439"/>
      <c r="T35" s="374"/>
      <c r="U35" s="374"/>
      <c r="V35" s="374"/>
      <c r="W35" s="374"/>
      <c r="X35" s="374"/>
      <c r="Y35" s="439"/>
      <c r="Z35" s="374"/>
      <c r="AA35" s="374"/>
      <c r="AB35" s="374"/>
      <c r="AC35" s="374"/>
      <c r="AD35" s="374"/>
      <c r="AE35" s="855"/>
    </row>
    <row r="36" spans="1:31" s="5" customFormat="1" ht="33" customHeight="1" thickBot="1">
      <c r="A36" s="1030" t="s">
        <v>106</v>
      </c>
      <c r="B36" s="1031"/>
      <c r="C36" s="1031"/>
      <c r="D36" s="1031"/>
      <c r="E36" s="353">
        <f aca="true" t="shared" si="16" ref="E36:M36">E34+E35</f>
        <v>617078079</v>
      </c>
      <c r="F36" s="73">
        <f t="shared" si="16"/>
        <v>617078079</v>
      </c>
      <c r="G36" s="73">
        <f t="shared" si="16"/>
        <v>617137579</v>
      </c>
      <c r="H36" s="73">
        <f t="shared" si="16"/>
        <v>634009960</v>
      </c>
      <c r="I36" s="73">
        <f>I34+I35</f>
        <v>635965826</v>
      </c>
      <c r="J36" s="73">
        <f t="shared" si="16"/>
        <v>0</v>
      </c>
      <c r="K36" s="353">
        <f t="shared" si="16"/>
        <v>596430286</v>
      </c>
      <c r="L36" s="73">
        <f t="shared" si="16"/>
        <v>596430286</v>
      </c>
      <c r="M36" s="73">
        <f t="shared" si="16"/>
        <v>596479786</v>
      </c>
      <c r="N36" s="73">
        <f>N34+N35</f>
        <v>611622167</v>
      </c>
      <c r="O36" s="73">
        <f>O34+O35</f>
        <v>613578033</v>
      </c>
      <c r="P36" s="73">
        <f>P34+P35</f>
        <v>584052098</v>
      </c>
      <c r="Q36" s="73">
        <f>Q34+Q35</f>
        <v>0</v>
      </c>
      <c r="R36" s="770">
        <f t="shared" si="4"/>
        <v>0.9549230382946535</v>
      </c>
      <c r="S36" s="353">
        <f aca="true" t="shared" si="17" ref="S36:AE36">S34+S35</f>
        <v>20647793</v>
      </c>
      <c r="T36" s="73">
        <f t="shared" si="17"/>
        <v>20647793</v>
      </c>
      <c r="U36" s="73">
        <f>U34+U35</f>
        <v>20657793</v>
      </c>
      <c r="V36" s="73">
        <f t="shared" si="17"/>
        <v>22387793</v>
      </c>
      <c r="W36" s="73">
        <f t="shared" si="17"/>
        <v>22387793</v>
      </c>
      <c r="X36" s="73">
        <f t="shared" si="17"/>
        <v>0</v>
      </c>
      <c r="Y36" s="353">
        <f t="shared" si="17"/>
        <v>4847310</v>
      </c>
      <c r="Z36" s="73">
        <f t="shared" si="17"/>
        <v>4847310</v>
      </c>
      <c r="AA36" s="73">
        <f t="shared" si="17"/>
        <v>4847310</v>
      </c>
      <c r="AB36" s="73">
        <f t="shared" si="17"/>
        <v>4847310</v>
      </c>
      <c r="AC36" s="73">
        <f t="shared" si="17"/>
        <v>4847310</v>
      </c>
      <c r="AD36" s="73">
        <f t="shared" si="17"/>
        <v>0</v>
      </c>
      <c r="AE36" s="852">
        <f t="shared" si="17"/>
        <v>0</v>
      </c>
    </row>
    <row r="37" spans="1:30" s="5" customFormat="1" ht="19.5" customHeight="1">
      <c r="A37" s="60"/>
      <c r="B37" s="116"/>
      <c r="C37" s="60"/>
      <c r="D37" s="60"/>
      <c r="E37" s="6"/>
      <c r="F37" s="6"/>
      <c r="G37" s="6"/>
      <c r="H37" s="6"/>
      <c r="I37" s="6"/>
      <c r="J37" s="6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441"/>
      <c r="Z37" s="441"/>
      <c r="AA37" s="441"/>
      <c r="AB37" s="441"/>
      <c r="AC37" s="441"/>
      <c r="AD37" s="441"/>
    </row>
    <row r="38" spans="1:30" s="5" customFormat="1" ht="19.5" customHeight="1">
      <c r="A38" s="60"/>
      <c r="B38" s="116"/>
      <c r="C38" s="60"/>
      <c r="D38" s="60"/>
      <c r="E38" s="6"/>
      <c r="F38" s="6"/>
      <c r="G38" s="6"/>
      <c r="H38" s="6"/>
      <c r="I38" s="6"/>
      <c r="J38" s="6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440"/>
      <c r="Z38" s="440"/>
      <c r="AA38" s="440"/>
      <c r="AB38" s="440"/>
      <c r="AC38" s="440"/>
      <c r="AD38" s="440"/>
    </row>
    <row r="39" spans="1:30" s="5" customFormat="1" ht="19.5" customHeight="1">
      <c r="A39" s="60"/>
      <c r="B39" s="116"/>
      <c r="C39" s="1060" t="s">
        <v>53</v>
      </c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294"/>
      <c r="U39" s="294"/>
      <c r="V39" s="294"/>
      <c r="W39" s="294"/>
      <c r="X39" s="294"/>
      <c r="Y39" s="442"/>
      <c r="Z39" s="442"/>
      <c r="AA39" s="442"/>
      <c r="AB39" s="442"/>
      <c r="AC39" s="442"/>
      <c r="AD39" s="443"/>
    </row>
    <row r="40" spans="1:30" s="5" customFormat="1" ht="19.5" customHeight="1" thickBot="1">
      <c r="A40" s="253" t="s">
        <v>54</v>
      </c>
      <c r="B40" s="253"/>
      <c r="E40" s="232"/>
      <c r="F40" s="232"/>
      <c r="G40" s="232"/>
      <c r="H40" s="232"/>
      <c r="I40" s="232"/>
      <c r="J40" s="232"/>
      <c r="K40" s="233"/>
      <c r="L40" s="233"/>
      <c r="M40" s="233"/>
      <c r="N40" s="233"/>
      <c r="O40" s="233"/>
      <c r="P40" s="233"/>
      <c r="Q40" s="233"/>
      <c r="R40" s="233"/>
      <c r="S40" s="234">
        <v>0</v>
      </c>
      <c r="T40" s="234"/>
      <c r="U40" s="234"/>
      <c r="V40" s="234"/>
      <c r="W40" s="234"/>
      <c r="X40" s="234"/>
      <c r="Y40" s="444"/>
      <c r="Z40" s="444"/>
      <c r="AA40" s="444"/>
      <c r="AB40" s="444"/>
      <c r="AC40" s="444"/>
      <c r="AD40" s="445"/>
    </row>
    <row r="41" spans="1:31" ht="52.5" customHeight="1" thickBot="1">
      <c r="A41" s="235">
        <v>1</v>
      </c>
      <c r="B41" s="1081" t="s">
        <v>155</v>
      </c>
      <c r="C41" s="1082"/>
      <c r="D41" s="1083"/>
      <c r="E41" s="252">
        <f>'1.sz.m-önk.össze.bev'!E56-'1 .sz.m.önk.össz.kiad.'!E29</f>
        <v>-141604907</v>
      </c>
      <c r="F41" s="252">
        <f>'1.sz.m-önk.össze.bev'!F56-'1 .sz.m.önk.össz.kiad.'!F29</f>
        <v>-112834907</v>
      </c>
      <c r="G41" s="252">
        <f>'1.sz.m-önk.össze.bev'!G56-'1 .sz.m.önk.össz.kiad.'!G29</f>
        <v>-109147744</v>
      </c>
      <c r="H41" s="252">
        <f>'1.sz.m-önk.össze.bev'!H56-'1 .sz.m.önk.össz.kiad.'!H29</f>
        <v>-108391809</v>
      </c>
      <c r="I41" s="252">
        <f>'1.sz.m-önk.össze.bev'!I56-'1 .sz.m.önk.össz.kiad.'!I29</f>
        <v>-108391809</v>
      </c>
      <c r="J41" s="252">
        <f>'1.sz.m-önk.össze.bev'!J56-'1 .sz.m.önk.össz.kiad.'!J29</f>
        <v>0</v>
      </c>
      <c r="K41" s="252">
        <f>'1.sz.m-önk.össze.bev'!K56-'1 .sz.m.önk.össz.kiad.'!K29</f>
        <v>-141604907</v>
      </c>
      <c r="L41" s="252">
        <f>'1.sz.m-önk.össze.bev'!L56-'1 .sz.m.önk.össz.kiad.'!L29</f>
        <v>-112834907</v>
      </c>
      <c r="M41" s="252">
        <f>'1.sz.m-önk.össze.bev'!M56-'1 .sz.m.önk.össz.kiad.'!M29</f>
        <v>-109147744</v>
      </c>
      <c r="N41" s="252">
        <f>'1.sz.m-önk.össze.bev'!N56-'1 .sz.m.önk.össz.kiad.'!N29</f>
        <v>-108391809</v>
      </c>
      <c r="O41" s="252">
        <f>'1.sz.m-önk.össze.bev'!O56-'1 .sz.m.önk.össz.kiad.'!O29</f>
        <v>-108391809</v>
      </c>
      <c r="P41" s="252">
        <f>'1.sz.m-önk.össze.bev'!P56-'1 .sz.m.önk.össz.kiad.'!P29</f>
        <v>-110976028</v>
      </c>
      <c r="Q41" s="252">
        <f>'1.sz.m-önk.össze.bev'!Q56-'1 .sz.m.önk.össz.kiad.'!Q29</f>
        <v>0</v>
      </c>
      <c r="R41" s="252">
        <f>'1.sz.m-önk.össze.bev'!R56-'1 .sz.m.önk.össz.kiad.'!R29</f>
        <v>-0.004764644669088547</v>
      </c>
      <c r="S41" s="252">
        <f>'1.sz.m-önk.össze.bev'!S56-'1 .sz.m.önk.össz.kiad.'!S29</f>
        <v>0</v>
      </c>
      <c r="T41" s="252">
        <f>'1.sz.m-önk.össze.bev'!T56-'1 .sz.m.önk.össz.kiad.'!T29</f>
        <v>0</v>
      </c>
      <c r="U41" s="252">
        <f>'1.sz.m-önk.össze.bev'!U56-'1 .sz.m.önk.össz.kiad.'!U29</f>
        <v>0</v>
      </c>
      <c r="V41" s="252">
        <f>'1.sz.m-önk.össze.bev'!V56-'1 .sz.m.önk.össz.kiad.'!V29</f>
        <v>0</v>
      </c>
      <c r="W41" s="252">
        <f>'1.sz.m-önk.össze.bev'!W56-'1 .sz.m.önk.össz.kiad.'!W29</f>
        <v>0</v>
      </c>
      <c r="X41" s="252">
        <f>'1.sz.m-önk.össze.bev'!X56-'1 .sz.m.önk.össz.kiad.'!X29</f>
        <v>0</v>
      </c>
      <c r="Y41" s="252">
        <f>'1.sz.m-önk.össze.bev'!Y56-'1 .sz.m.önk.össz.kiad.'!Y29</f>
        <v>-4847310</v>
      </c>
      <c r="Z41" s="252">
        <f>'1.sz.m-önk.össze.bev'!Z56-'1 .sz.m.önk.össz.kiad.'!Z29</f>
        <v>-4847310</v>
      </c>
      <c r="AA41" s="252">
        <f>'1.sz.m-önk.össze.bev'!AA56-'1 .sz.m.önk.össz.kiad.'!AA29</f>
        <v>-4847310</v>
      </c>
      <c r="AB41" s="252">
        <f>'1.sz.m-önk.össze.bev'!AB56-'1 .sz.m.önk.össz.kiad.'!AB29</f>
        <v>-4847310</v>
      </c>
      <c r="AC41" s="252">
        <f>'1.sz.m-önk.össze.bev'!AC56-'1 .sz.m.önk.össz.kiad.'!AC29</f>
        <v>-4847310</v>
      </c>
      <c r="AD41" s="252">
        <f>'1.sz.m-önk.össze.bev'!AD56-'1 .sz.m.önk.össz.kiad.'!AD29</f>
        <v>0</v>
      </c>
      <c r="AE41" s="252">
        <f>'1.sz.m-önk.össze.bev'!AE56-'1 .sz.m.önk.össz.kiad.'!AE29</f>
        <v>0</v>
      </c>
    </row>
    <row r="42" spans="1:24" ht="15.75">
      <c r="A42" s="118"/>
      <c r="B42" s="59"/>
      <c r="C42" s="232"/>
      <c r="D42" s="232"/>
      <c r="E42" s="236"/>
      <c r="F42" s="236"/>
      <c r="G42" s="236"/>
      <c r="H42" s="236"/>
      <c r="I42" s="236"/>
      <c r="J42" s="236"/>
      <c r="K42" s="233"/>
      <c r="L42" s="233"/>
      <c r="M42" s="233"/>
      <c r="N42" s="233"/>
      <c r="O42" s="233"/>
      <c r="P42" s="233"/>
      <c r="Q42" s="233"/>
      <c r="R42" s="233"/>
      <c r="S42" s="234">
        <v>0</v>
      </c>
      <c r="T42" s="234"/>
      <c r="U42" s="234"/>
      <c r="V42" s="234"/>
      <c r="W42" s="234"/>
      <c r="X42" s="234"/>
    </row>
    <row r="43" spans="1:24" ht="15.75" customHeight="1">
      <c r="A43" s="118"/>
      <c r="B43" s="59"/>
      <c r="C43" s="1079" t="s">
        <v>156</v>
      </c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  <c r="P43" s="1079"/>
      <c r="Q43" s="1079"/>
      <c r="R43" s="1079"/>
      <c r="S43" s="1079"/>
      <c r="T43" s="292"/>
      <c r="U43" s="292"/>
      <c r="V43" s="292"/>
      <c r="W43" s="292"/>
      <c r="X43" s="292"/>
    </row>
    <row r="44" spans="1:24" ht="16.5" thickBot="1">
      <c r="A44" s="253" t="s">
        <v>157</v>
      </c>
      <c r="B44" s="59"/>
      <c r="C44" s="1084"/>
      <c r="D44" s="1084"/>
      <c r="E44" s="232"/>
      <c r="F44" s="232"/>
      <c r="G44" s="232"/>
      <c r="H44" s="232"/>
      <c r="I44" s="232"/>
      <c r="J44" s="232"/>
      <c r="K44" s="233"/>
      <c r="L44" s="233"/>
      <c r="M44" s="233"/>
      <c r="N44" s="233"/>
      <c r="O44" s="233"/>
      <c r="P44" s="233"/>
      <c r="Q44" s="233"/>
      <c r="R44" s="233"/>
      <c r="S44" s="234">
        <v>0</v>
      </c>
      <c r="T44" s="234"/>
      <c r="U44" s="234"/>
      <c r="V44" s="234"/>
      <c r="W44" s="234"/>
      <c r="X44" s="234"/>
    </row>
    <row r="45" spans="1:31" ht="27.75" customHeight="1">
      <c r="A45" s="248" t="s">
        <v>29</v>
      </c>
      <c r="B45" s="1051" t="s">
        <v>513</v>
      </c>
      <c r="C45" s="1052"/>
      <c r="D45" s="1053"/>
      <c r="E45" s="267">
        <f>'1.sz.m-önk.össze.bev'!E60-'2.sz.m.összehasonlító'!B26</f>
        <v>128479128</v>
      </c>
      <c r="F45" s="267">
        <f>'1.sz.m-önk.össze.bev'!F60-'2.sz.m.összehasonlító'!C26</f>
        <v>128479128</v>
      </c>
      <c r="G45" s="267">
        <f>'1.sz.m-önk.össze.bev'!G60-'2.sz.m.összehasonlító'!D26</f>
        <v>118099679</v>
      </c>
      <c r="H45" s="267">
        <f>'1.sz.m-önk.össze.bev'!H60-'2.sz.m.összehasonlító'!E26</f>
        <v>81869946</v>
      </c>
      <c r="I45" s="267">
        <f>'1.sz.m-önk.össze.bev'!I60-'2.sz.m.összehasonlító'!F26</f>
        <v>81197758</v>
      </c>
      <c r="J45" s="267">
        <f>'1.sz.m-önk.össze.bev'!J60-'2.sz.m.összehasonlító'!G26</f>
        <v>0</v>
      </c>
      <c r="K45" s="267">
        <f>'1.sz.m-önk.össze.bev'!K60-'2.sz.m.összehasonlító'!B26</f>
        <v>128479128</v>
      </c>
      <c r="L45" s="267">
        <f>'1.sz.m-önk.össze.bev'!L60-'2.sz.m.összehasonlító'!C26</f>
        <v>128479128</v>
      </c>
      <c r="M45" s="267">
        <f>'1.sz.m-önk.össze.bev'!M60-'2.sz.m.összehasonlító'!D26</f>
        <v>118099679</v>
      </c>
      <c r="N45" s="267">
        <f>'1.sz.m-önk.össze.bev'!N60-'2.sz.m.összehasonlító'!E26</f>
        <v>81869946</v>
      </c>
      <c r="O45" s="267">
        <f>'1.sz.m-önk.össze.bev'!O60-'2.sz.m.összehasonlító'!F26</f>
        <v>81197758</v>
      </c>
      <c r="P45" s="267">
        <f>'1.sz.m-önk.össze.bev'!P60</f>
        <v>138566684</v>
      </c>
      <c r="Q45" s="267">
        <f>'1.sz.m-önk.össze.bev'!Q60</f>
        <v>0</v>
      </c>
      <c r="R45" s="267">
        <f>'1.sz.m-önk.össze.bev'!R60</f>
        <v>1</v>
      </c>
      <c r="S45" s="267">
        <f>'1.sz.m-önk.össze.bev'!S60</f>
        <v>0</v>
      </c>
      <c r="T45" s="267">
        <f>'1.sz.m-önk.össze.bev'!T60</f>
        <v>0</v>
      </c>
      <c r="U45" s="267">
        <f>'1.sz.m-önk.össze.bev'!U60</f>
        <v>0</v>
      </c>
      <c r="V45" s="267">
        <f>'1.sz.m-önk.össze.bev'!V60</f>
        <v>0</v>
      </c>
      <c r="W45" s="267">
        <f>'1.sz.m-önk.össze.bev'!W60</f>
        <v>0</v>
      </c>
      <c r="X45" s="267">
        <f>'1.sz.m-önk.össze.bev'!X60</f>
        <v>0</v>
      </c>
      <c r="Y45" s="267">
        <f>'1.sz.m-önk.össze.bev'!Y60</f>
        <v>0</v>
      </c>
      <c r="Z45" s="267">
        <f>'1.sz.m-önk.össze.bev'!Z60</f>
        <v>0</v>
      </c>
      <c r="AA45" s="267">
        <f>'1.sz.m-önk.össze.bev'!AA60</f>
        <v>0</v>
      </c>
      <c r="AB45" s="267">
        <f>'1.sz.m-önk.össze.bev'!AB60</f>
        <v>0</v>
      </c>
      <c r="AC45" s="267">
        <f>'1.sz.m-önk.össze.bev'!AC60</f>
        <v>0</v>
      </c>
      <c r="AD45" s="267">
        <f>'1.sz.m-önk.össze.bev'!AD60</f>
        <v>0</v>
      </c>
      <c r="AE45" s="267">
        <f>'1.sz.m-önk.össze.bev'!AE60</f>
        <v>0</v>
      </c>
    </row>
    <row r="46" spans="1:31" ht="27.75" customHeight="1">
      <c r="A46" s="249" t="s">
        <v>30</v>
      </c>
      <c r="B46" s="1069" t="s">
        <v>514</v>
      </c>
      <c r="C46" s="1070"/>
      <c r="D46" s="1071"/>
      <c r="E46" s="268">
        <f>'2.sz.m.összehasonlító'!B26</f>
        <v>10090000</v>
      </c>
      <c r="F46" s="268">
        <f>'2.sz.m.összehasonlító'!C26</f>
        <v>10090000</v>
      </c>
      <c r="G46" s="268">
        <f>'2.sz.m.összehasonlító'!D26</f>
        <v>20467005</v>
      </c>
      <c r="H46" s="268">
        <f>'2.sz.m.összehasonlító'!E26</f>
        <v>56696738</v>
      </c>
      <c r="I46" s="268">
        <f>'2.sz.m.összehasonlító'!F26</f>
        <v>57368926</v>
      </c>
      <c r="J46" s="268">
        <f>'2.sz.m.összehasonlító'!G26</f>
        <v>0</v>
      </c>
      <c r="K46" s="268">
        <f>'2.sz.m.összehasonlító'!B26</f>
        <v>10090000</v>
      </c>
      <c r="L46" s="268">
        <f>'2.sz.m.összehasonlító'!C26</f>
        <v>10090000</v>
      </c>
      <c r="M46" s="268">
        <f>'2.sz.m.összehasonlító'!D26</f>
        <v>20467005</v>
      </c>
      <c r="N46" s="268">
        <f>'2.sz.m.összehasonlító'!E26</f>
        <v>56696738</v>
      </c>
      <c r="O46" s="268">
        <f>'2.sz.m.összehasonlító'!F26</f>
        <v>57368926</v>
      </c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</row>
    <row r="47" spans="1:31" ht="27.75" customHeight="1" thickBot="1">
      <c r="A47" s="250" t="s">
        <v>10</v>
      </c>
      <c r="B47" s="1085" t="s">
        <v>515</v>
      </c>
      <c r="C47" s="1086"/>
      <c r="D47" s="1087"/>
      <c r="E47" s="266">
        <f aca="true" t="shared" si="18" ref="E47:L47">E45+E46</f>
        <v>138569128</v>
      </c>
      <c r="F47" s="266">
        <f t="shared" si="18"/>
        <v>138569128</v>
      </c>
      <c r="G47" s="266">
        <f t="shared" si="18"/>
        <v>138566684</v>
      </c>
      <c r="H47" s="266">
        <f>H45+H46</f>
        <v>138566684</v>
      </c>
      <c r="I47" s="266">
        <f>I45+I46</f>
        <v>138566684</v>
      </c>
      <c r="J47" s="266">
        <f>J45+J46</f>
        <v>0</v>
      </c>
      <c r="K47" s="266">
        <f t="shared" si="18"/>
        <v>138569128</v>
      </c>
      <c r="L47" s="266">
        <f t="shared" si="18"/>
        <v>138569128</v>
      </c>
      <c r="M47" s="266">
        <f aca="true" t="shared" si="19" ref="M47:AD47">M45+M46</f>
        <v>138566684</v>
      </c>
      <c r="N47" s="266">
        <f t="shared" si="19"/>
        <v>138566684</v>
      </c>
      <c r="O47" s="266">
        <f>O45+O46</f>
        <v>138566684</v>
      </c>
      <c r="P47" s="266">
        <f t="shared" si="19"/>
        <v>138566684</v>
      </c>
      <c r="Q47" s="266">
        <f t="shared" si="19"/>
        <v>0</v>
      </c>
      <c r="R47" s="266">
        <f t="shared" si="19"/>
        <v>1</v>
      </c>
      <c r="S47" s="266">
        <f t="shared" si="19"/>
        <v>0</v>
      </c>
      <c r="T47" s="266">
        <f t="shared" si="19"/>
        <v>0</v>
      </c>
      <c r="U47" s="266">
        <f t="shared" si="19"/>
        <v>0</v>
      </c>
      <c r="V47" s="266">
        <f t="shared" si="19"/>
        <v>0</v>
      </c>
      <c r="W47" s="266">
        <f t="shared" si="19"/>
        <v>0</v>
      </c>
      <c r="X47" s="266">
        <f t="shared" si="19"/>
        <v>0</v>
      </c>
      <c r="Y47" s="266">
        <f t="shared" si="19"/>
        <v>0</v>
      </c>
      <c r="Z47" s="266">
        <f t="shared" si="19"/>
        <v>0</v>
      </c>
      <c r="AA47" s="266">
        <f t="shared" si="19"/>
        <v>0</v>
      </c>
      <c r="AB47" s="266">
        <f t="shared" si="19"/>
        <v>0</v>
      </c>
      <c r="AC47" s="266">
        <f t="shared" si="19"/>
        <v>0</v>
      </c>
      <c r="AD47" s="266">
        <f t="shared" si="19"/>
        <v>0</v>
      </c>
      <c r="AE47" s="266">
        <f>AE45+AE46</f>
        <v>0</v>
      </c>
    </row>
    <row r="48" spans="1:25" ht="15.75">
      <c r="A48" s="118"/>
      <c r="B48" s="59"/>
      <c r="C48" s="237"/>
      <c r="D48" s="238"/>
      <c r="E48" s="239"/>
      <c r="F48" s="239"/>
      <c r="G48" s="239"/>
      <c r="H48" s="239"/>
      <c r="I48" s="239"/>
      <c r="J48" s="239"/>
      <c r="K48" s="233"/>
      <c r="L48" s="233"/>
      <c r="M48" s="233"/>
      <c r="N48" s="233"/>
      <c r="O48" s="233"/>
      <c r="P48" s="233"/>
      <c r="Q48" s="233"/>
      <c r="R48" s="233"/>
      <c r="S48" s="234"/>
      <c r="T48" s="234"/>
      <c r="U48" s="234"/>
      <c r="V48" s="234"/>
      <c r="W48" s="234"/>
      <c r="X48" s="234"/>
      <c r="Y48" s="1"/>
    </row>
    <row r="49" spans="1:24" ht="15.75" customHeight="1">
      <c r="A49" s="118"/>
      <c r="B49" s="59"/>
      <c r="C49" s="1079" t="s">
        <v>158</v>
      </c>
      <c r="D49" s="1079"/>
      <c r="E49" s="1079"/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1079"/>
      <c r="T49" s="292"/>
      <c r="U49" s="292"/>
      <c r="V49" s="292"/>
      <c r="W49" s="292"/>
      <c r="X49" s="292"/>
    </row>
    <row r="50" spans="1:24" ht="16.5" thickBot="1">
      <c r="A50" s="253" t="s">
        <v>159</v>
      </c>
      <c r="B50" s="253"/>
      <c r="C50" s="1059"/>
      <c r="D50" s="1059"/>
      <c r="E50" s="232"/>
      <c r="F50" s="232"/>
      <c r="G50" s="232"/>
      <c r="H50" s="232"/>
      <c r="I50" s="232"/>
      <c r="J50" s="232"/>
      <c r="K50" s="233"/>
      <c r="L50" s="233"/>
      <c r="M50" s="233"/>
      <c r="N50" s="233"/>
      <c r="O50" s="233"/>
      <c r="P50" s="233"/>
      <c r="Q50" s="233"/>
      <c r="R50" s="233"/>
      <c r="S50" s="234">
        <v>0</v>
      </c>
      <c r="T50" s="234"/>
      <c r="U50" s="234"/>
      <c r="V50" s="234"/>
      <c r="W50" s="234"/>
      <c r="X50" s="234"/>
    </row>
    <row r="51" spans="1:32" ht="27.75" customHeight="1">
      <c r="A51" s="248" t="s">
        <v>29</v>
      </c>
      <c r="B51" s="1051" t="s">
        <v>516</v>
      </c>
      <c r="C51" s="1052"/>
      <c r="D51" s="1053"/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  <c r="Q51" s="254">
        <v>0</v>
      </c>
      <c r="R51" s="254">
        <v>0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4">
        <v>0</v>
      </c>
      <c r="Y51" s="254">
        <v>0</v>
      </c>
      <c r="Z51" s="254">
        <v>0</v>
      </c>
      <c r="AA51" s="254">
        <v>0</v>
      </c>
      <c r="AB51" s="254">
        <v>0</v>
      </c>
      <c r="AC51" s="254">
        <v>0</v>
      </c>
      <c r="AD51" s="254">
        <v>0</v>
      </c>
      <c r="AE51" s="254">
        <v>0</v>
      </c>
      <c r="AF51" s="254">
        <v>0</v>
      </c>
    </row>
    <row r="52" spans="1:32" ht="27.75" customHeight="1">
      <c r="A52" s="249" t="s">
        <v>30</v>
      </c>
      <c r="B52" s="1069" t="s">
        <v>517</v>
      </c>
      <c r="C52" s="1070"/>
      <c r="D52" s="1071"/>
      <c r="E52" s="255">
        <f>'1.sz.m-önk.össze.bev'!E58</f>
        <v>12000000</v>
      </c>
      <c r="F52" s="255">
        <f>'1.sz.m-önk.össze.bev'!F58</f>
        <v>12000000</v>
      </c>
      <c r="G52" s="255">
        <f>'1.sz.m-önk.össze.bev'!G58</f>
        <v>8315281</v>
      </c>
      <c r="H52" s="255">
        <f>'1.sz.m-önk.össze.bev'!H58</f>
        <v>8315281</v>
      </c>
      <c r="I52" s="255">
        <f>'1.sz.m-önk.össze.bev'!I58</f>
        <v>8315281</v>
      </c>
      <c r="J52" s="255">
        <f>'1.sz.m-önk.össze.bev'!J58</f>
        <v>0</v>
      </c>
      <c r="K52" s="255">
        <f>'1.sz.m-önk.össze.bev'!K58</f>
        <v>12000000</v>
      </c>
      <c r="L52" s="255">
        <f>'1.sz.m-önk.össze.bev'!L58</f>
        <v>12000000</v>
      </c>
      <c r="M52" s="255">
        <f>'1.sz.m-önk.össze.bev'!M58</f>
        <v>8315281</v>
      </c>
      <c r="N52" s="255">
        <f>'1.sz.m-önk.össze.bev'!N58</f>
        <v>8315281</v>
      </c>
      <c r="O52" s="255">
        <f>'1.sz.m-önk.össze.bev'!O58</f>
        <v>8315281</v>
      </c>
      <c r="P52" s="255">
        <f>'1.sz.m-önk.össze.bev'!P58</f>
        <v>8315281</v>
      </c>
      <c r="Q52" s="255">
        <f>'1.sz.m-önk.össze.bev'!Q58</f>
        <v>0</v>
      </c>
      <c r="R52" s="255">
        <f>'1.sz.m-önk.össze.bev'!R58</f>
        <v>1</v>
      </c>
      <c r="S52" s="255">
        <f>'1.sz.m-önk.össze.bev'!S58</f>
        <v>0</v>
      </c>
      <c r="T52" s="255">
        <f>'1.sz.m-önk.össze.bev'!T58</f>
        <v>0</v>
      </c>
      <c r="U52" s="255">
        <f>'1.sz.m-önk.össze.bev'!U58</f>
        <v>0</v>
      </c>
      <c r="V52" s="255">
        <f>'1.sz.m-önk.össze.bev'!V58</f>
        <v>0</v>
      </c>
      <c r="W52" s="255">
        <f>'1.sz.m-önk.össze.bev'!W58</f>
        <v>0</v>
      </c>
      <c r="X52" s="255">
        <f>'1.sz.m-önk.össze.bev'!X58</f>
        <v>0</v>
      </c>
      <c r="Y52" s="255">
        <f>'1.sz.m-önk.össze.bev'!Y58</f>
        <v>0</v>
      </c>
      <c r="Z52" s="255">
        <f>'1.sz.m-önk.össze.bev'!Z58</f>
        <v>0</v>
      </c>
      <c r="AA52" s="255">
        <f>'1.sz.m-önk.össze.bev'!AA58</f>
        <v>0</v>
      </c>
      <c r="AB52" s="255">
        <f>'1.sz.m-önk.össze.bev'!AB58</f>
        <v>0</v>
      </c>
      <c r="AC52" s="255">
        <f>'1.sz.m-önk.össze.bev'!AC58</f>
        <v>0</v>
      </c>
      <c r="AD52" s="255">
        <f>'1.sz.m-önk.össze.bev'!AD58</f>
        <v>0</v>
      </c>
      <c r="AE52" s="255">
        <f>'1.sz.m-önk.össze.bev'!AE58</f>
        <v>0</v>
      </c>
      <c r="AF52" s="255">
        <f>'1.sz.m-önk.össze.bev'!AF58</f>
        <v>0</v>
      </c>
    </row>
    <row r="53" spans="1:32" ht="27.75" customHeight="1" thickBot="1">
      <c r="A53" s="250" t="s">
        <v>10</v>
      </c>
      <c r="B53" s="1072" t="s">
        <v>518</v>
      </c>
      <c r="C53" s="1073"/>
      <c r="D53" s="1074"/>
      <c r="E53" s="256">
        <f aca="true" t="shared" si="20" ref="E53:J53">E51+E52</f>
        <v>12000000</v>
      </c>
      <c r="F53" s="256">
        <f t="shared" si="20"/>
        <v>12000000</v>
      </c>
      <c r="G53" s="256">
        <f t="shared" si="20"/>
        <v>8315281</v>
      </c>
      <c r="H53" s="256">
        <f t="shared" si="20"/>
        <v>8315281</v>
      </c>
      <c r="I53" s="256">
        <f t="shared" si="20"/>
        <v>8315281</v>
      </c>
      <c r="J53" s="256">
        <f t="shared" si="20"/>
        <v>0</v>
      </c>
      <c r="K53" s="256">
        <f aca="true" t="shared" si="21" ref="K53:AF53">K51+K52</f>
        <v>12000000</v>
      </c>
      <c r="L53" s="256">
        <f t="shared" si="21"/>
        <v>12000000</v>
      </c>
      <c r="M53" s="256">
        <f t="shared" si="21"/>
        <v>8315281</v>
      </c>
      <c r="N53" s="256">
        <f t="shared" si="21"/>
        <v>8315281</v>
      </c>
      <c r="O53" s="256">
        <f t="shared" si="21"/>
        <v>8315281</v>
      </c>
      <c r="P53" s="256">
        <f t="shared" si="21"/>
        <v>8315281</v>
      </c>
      <c r="Q53" s="256">
        <f t="shared" si="21"/>
        <v>0</v>
      </c>
      <c r="R53" s="256">
        <f t="shared" si="21"/>
        <v>1</v>
      </c>
      <c r="S53" s="256">
        <f t="shared" si="21"/>
        <v>0</v>
      </c>
      <c r="T53" s="256">
        <f t="shared" si="21"/>
        <v>0</v>
      </c>
      <c r="U53" s="256">
        <f t="shared" si="21"/>
        <v>0</v>
      </c>
      <c r="V53" s="256">
        <f t="shared" si="21"/>
        <v>0</v>
      </c>
      <c r="W53" s="256">
        <f t="shared" si="21"/>
        <v>0</v>
      </c>
      <c r="X53" s="256">
        <f t="shared" si="21"/>
        <v>0</v>
      </c>
      <c r="Y53" s="256">
        <f t="shared" si="21"/>
        <v>0</v>
      </c>
      <c r="Z53" s="256">
        <f t="shared" si="21"/>
        <v>0</v>
      </c>
      <c r="AA53" s="256">
        <f t="shared" si="21"/>
        <v>0</v>
      </c>
      <c r="AB53" s="256">
        <f t="shared" si="21"/>
        <v>0</v>
      </c>
      <c r="AC53" s="256">
        <f t="shared" si="21"/>
        <v>0</v>
      </c>
      <c r="AD53" s="256">
        <f t="shared" si="21"/>
        <v>0</v>
      </c>
      <c r="AE53" s="256">
        <f t="shared" si="21"/>
        <v>0</v>
      </c>
      <c r="AF53" s="256">
        <f t="shared" si="21"/>
        <v>0</v>
      </c>
    </row>
    <row r="54" spans="1:29" ht="15.75">
      <c r="A54" s="118"/>
      <c r="B54" s="59"/>
      <c r="C54" s="237"/>
      <c r="D54" s="238"/>
      <c r="E54" s="239"/>
      <c r="F54" s="239"/>
      <c r="G54" s="239"/>
      <c r="H54" s="239"/>
      <c r="I54" s="239"/>
      <c r="J54" s="239"/>
      <c r="K54" s="233"/>
      <c r="L54" s="233"/>
      <c r="M54" s="233"/>
      <c r="N54" s="233"/>
      <c r="O54" s="233"/>
      <c r="P54" s="233"/>
      <c r="Q54" s="233"/>
      <c r="R54" s="233"/>
      <c r="S54" s="234"/>
      <c r="T54" s="234"/>
      <c r="U54" s="234"/>
      <c r="V54" s="234"/>
      <c r="W54" s="234"/>
      <c r="X54" s="234"/>
      <c r="AC54" s="75"/>
    </row>
    <row r="55" spans="1:25" ht="15.75" customHeight="1">
      <c r="A55" s="118"/>
      <c r="B55" s="59"/>
      <c r="C55" s="1078" t="s">
        <v>55</v>
      </c>
      <c r="D55" s="1078"/>
      <c r="E55" s="1078"/>
      <c r="F55" s="1078"/>
      <c r="G55" s="1078"/>
      <c r="H55" s="1078"/>
      <c r="I55" s="1078"/>
      <c r="J55" s="1078"/>
      <c r="K55" s="1078"/>
      <c r="L55" s="1078"/>
      <c r="M55" s="1078"/>
      <c r="N55" s="1078"/>
      <c r="O55" s="1078"/>
      <c r="P55" s="1078"/>
      <c r="Q55" s="1078"/>
      <c r="R55" s="1078"/>
      <c r="S55" s="1079"/>
      <c r="T55" s="292"/>
      <c r="U55" s="292"/>
      <c r="V55" s="292"/>
      <c r="W55" s="292"/>
      <c r="X55" s="292"/>
      <c r="Y55" s="134"/>
    </row>
    <row r="56" spans="1:24" ht="15.75">
      <c r="A56" s="118"/>
      <c r="B56" s="59"/>
      <c r="C56" s="240"/>
      <c r="D56" s="240"/>
      <c r="E56" s="240"/>
      <c r="F56" s="240"/>
      <c r="G56" s="240"/>
      <c r="H56" s="240"/>
      <c r="I56" s="240"/>
      <c r="J56" s="240"/>
      <c r="K56" s="241"/>
      <c r="L56" s="241"/>
      <c r="M56" s="241"/>
      <c r="N56" s="241"/>
      <c r="O56" s="241"/>
      <c r="P56" s="241"/>
      <c r="Q56" s="241"/>
      <c r="R56" s="241"/>
      <c r="S56" s="242"/>
      <c r="T56" s="242"/>
      <c r="U56" s="242"/>
      <c r="V56" s="242"/>
      <c r="W56" s="242"/>
      <c r="X56" s="242"/>
    </row>
    <row r="57" spans="1:24" ht="16.5" thickBot="1">
      <c r="A57" s="253" t="s">
        <v>196</v>
      </c>
      <c r="C57" s="1080"/>
      <c r="D57" s="1080"/>
      <c r="E57" s="240"/>
      <c r="F57" s="240"/>
      <c r="G57" s="240"/>
      <c r="H57" s="240"/>
      <c r="I57" s="240"/>
      <c r="J57" s="240"/>
      <c r="K57" s="241"/>
      <c r="L57" s="241"/>
      <c r="M57" s="241"/>
      <c r="N57" s="241"/>
      <c r="O57" s="241"/>
      <c r="P57" s="241"/>
      <c r="Q57" s="241"/>
      <c r="R57" s="241"/>
      <c r="S57" s="242"/>
      <c r="T57" s="242"/>
      <c r="U57" s="242"/>
      <c r="V57" s="242"/>
      <c r="W57" s="242"/>
      <c r="X57" s="242"/>
    </row>
    <row r="58" spans="1:31" ht="27" customHeight="1">
      <c r="A58" s="260" t="s">
        <v>29</v>
      </c>
      <c r="B58" s="1075" t="s">
        <v>160</v>
      </c>
      <c r="C58" s="1075"/>
      <c r="D58" s="1075"/>
      <c r="E58" s="261">
        <f>E59-E62</f>
        <v>141604907</v>
      </c>
      <c r="F58" s="261">
        <f>F59-F62</f>
        <v>112834907</v>
      </c>
      <c r="G58" s="261">
        <f>G59-G62</f>
        <v>109147744</v>
      </c>
      <c r="H58" s="261">
        <f>H59-H62</f>
        <v>108391809</v>
      </c>
      <c r="I58" s="261">
        <f>I59-I62</f>
        <v>108391809</v>
      </c>
      <c r="J58" s="261">
        <f aca="true" t="shared" si="22" ref="J58:AD58">J59-J62</f>
        <v>0</v>
      </c>
      <c r="K58" s="261">
        <f t="shared" si="22"/>
        <v>141604907</v>
      </c>
      <c r="L58" s="261">
        <f t="shared" si="22"/>
        <v>112834907</v>
      </c>
      <c r="M58" s="261">
        <f t="shared" si="22"/>
        <v>109147744</v>
      </c>
      <c r="N58" s="261">
        <f>N59-N62</f>
        <v>108391809</v>
      </c>
      <c r="O58" s="261">
        <f>O59-O62</f>
        <v>108391809</v>
      </c>
      <c r="P58" s="261">
        <f t="shared" si="22"/>
        <v>137917744</v>
      </c>
      <c r="Q58" s="261">
        <f t="shared" si="22"/>
        <v>0</v>
      </c>
      <c r="R58" s="261">
        <f t="shared" si="22"/>
        <v>0.7671035420069485</v>
      </c>
      <c r="S58" s="261">
        <f t="shared" si="22"/>
        <v>0</v>
      </c>
      <c r="T58" s="261">
        <f t="shared" si="22"/>
        <v>0</v>
      </c>
      <c r="U58" s="261">
        <f t="shared" si="22"/>
        <v>0</v>
      </c>
      <c r="V58" s="261">
        <f t="shared" si="22"/>
        <v>0</v>
      </c>
      <c r="W58" s="261">
        <f t="shared" si="22"/>
        <v>0</v>
      </c>
      <c r="X58" s="261">
        <f t="shared" si="22"/>
        <v>0</v>
      </c>
      <c r="Y58" s="261">
        <f t="shared" si="22"/>
        <v>0</v>
      </c>
      <c r="Z58" s="261">
        <f t="shared" si="22"/>
        <v>0</v>
      </c>
      <c r="AA58" s="261">
        <f t="shared" si="22"/>
        <v>0</v>
      </c>
      <c r="AB58" s="261">
        <f t="shared" si="22"/>
        <v>0</v>
      </c>
      <c r="AC58" s="261">
        <f t="shared" si="22"/>
        <v>0</v>
      </c>
      <c r="AD58" s="261">
        <f t="shared" si="22"/>
        <v>0</v>
      </c>
      <c r="AE58" s="261">
        <f>AE59-AE62</f>
        <v>0</v>
      </c>
    </row>
    <row r="59" spans="1:31" ht="27" customHeight="1">
      <c r="A59" s="257" t="s">
        <v>161</v>
      </c>
      <c r="B59" s="1076" t="s">
        <v>543</v>
      </c>
      <c r="C59" s="1076"/>
      <c r="D59" s="1076"/>
      <c r="E59" s="262">
        <f>'1.sz.m-önk.össze.bev'!E57</f>
        <v>150569128</v>
      </c>
      <c r="F59" s="262">
        <f>'1.sz.m-önk.össze.bev'!F57</f>
        <v>150569128</v>
      </c>
      <c r="G59" s="262">
        <f>'1.sz.m-önk.össze.bev'!G57</f>
        <v>146881965</v>
      </c>
      <c r="H59" s="262">
        <f>'1.sz.m-önk.össze.bev'!H57</f>
        <v>146881965</v>
      </c>
      <c r="I59" s="262">
        <f>'1.sz.m-önk.össze.bev'!I57</f>
        <v>146881965</v>
      </c>
      <c r="J59" s="262">
        <f>'1.sz.m-önk.össze.bev'!J57</f>
        <v>0</v>
      </c>
      <c r="K59" s="262">
        <f>'1.sz.m-önk.össze.bev'!K57</f>
        <v>150569128</v>
      </c>
      <c r="L59" s="262">
        <f>'1.sz.m-önk.össze.bev'!L57</f>
        <v>150569128</v>
      </c>
      <c r="M59" s="262">
        <f>'1.sz.m-önk.össze.bev'!M57</f>
        <v>146881965</v>
      </c>
      <c r="N59" s="262">
        <f>'1.sz.m-önk.össze.bev'!N57</f>
        <v>146881965</v>
      </c>
      <c r="O59" s="262">
        <f>'1.sz.m-önk.össze.bev'!O57</f>
        <v>146881965</v>
      </c>
      <c r="P59" s="262">
        <f>'1.sz.m-önk.össze.bev'!P57</f>
        <v>146881965</v>
      </c>
      <c r="Q59" s="262">
        <f>'1.sz.m-önk.össze.bev'!Q57</f>
        <v>0</v>
      </c>
      <c r="R59" s="262">
        <f>'1.sz.m-önk.össze.bev'!R57</f>
        <v>1</v>
      </c>
      <c r="S59" s="262">
        <f>'1.sz.m-önk.össze.bev'!S57</f>
        <v>0</v>
      </c>
      <c r="T59" s="262">
        <f>'1.sz.m-önk.össze.bev'!T57</f>
        <v>0</v>
      </c>
      <c r="U59" s="262">
        <f>'1.sz.m-önk.össze.bev'!U57</f>
        <v>0</v>
      </c>
      <c r="V59" s="262">
        <f>'1.sz.m-önk.össze.bev'!V57</f>
        <v>0</v>
      </c>
      <c r="W59" s="262">
        <f>'1.sz.m-önk.össze.bev'!W57</f>
        <v>0</v>
      </c>
      <c r="X59" s="262">
        <f>'1.sz.m-önk.össze.bev'!X57</f>
        <v>0</v>
      </c>
      <c r="Y59" s="262">
        <f>'1.sz.m-önk.össze.bev'!Y57</f>
        <v>0</v>
      </c>
      <c r="Z59" s="262">
        <f>'1.sz.m-önk.össze.bev'!Z57</f>
        <v>0</v>
      </c>
      <c r="AA59" s="262">
        <f>'1.sz.m-önk.össze.bev'!AA57</f>
        <v>0</v>
      </c>
      <c r="AB59" s="262">
        <f>'1.sz.m-önk.össze.bev'!AB57</f>
        <v>0</v>
      </c>
      <c r="AC59" s="262">
        <f>'1.sz.m-önk.össze.bev'!AC57</f>
        <v>0</v>
      </c>
      <c r="AD59" s="262">
        <f>'1.sz.m-önk.össze.bev'!AD57</f>
        <v>0</v>
      </c>
      <c r="AE59" s="262">
        <f>'1.sz.m-önk.össze.bev'!AE57</f>
        <v>0</v>
      </c>
    </row>
    <row r="60" spans="1:31" ht="27" customHeight="1">
      <c r="A60" s="257" t="s">
        <v>162</v>
      </c>
      <c r="B60" s="1077" t="s">
        <v>203</v>
      </c>
      <c r="C60" s="1077"/>
      <c r="D60" s="1077"/>
      <c r="E60" s="262">
        <f>'1.sz.m-önk.össze.bev'!E60-'2.sz.m.összehasonlító'!B26</f>
        <v>128479128</v>
      </c>
      <c r="F60" s="262">
        <f>'1.sz.m-önk.össze.bev'!F60-'2.sz.m.összehasonlító'!C26</f>
        <v>128479128</v>
      </c>
      <c r="G60" s="262">
        <f>'1.sz.m-önk.össze.bev'!G60-'2.sz.m.összehasonlító'!D26</f>
        <v>118099679</v>
      </c>
      <c r="H60" s="262">
        <f>'1.sz.m-önk.össze.bev'!H60-'2.sz.m.összehasonlító'!E26</f>
        <v>81869946</v>
      </c>
      <c r="I60" s="262">
        <f>'1.sz.m-önk.össze.bev'!I60-'2.sz.m.összehasonlító'!F26</f>
        <v>81197758</v>
      </c>
      <c r="J60" s="262">
        <f>'1.sz.m-önk.össze.bev'!J60-'2.sz.m.összehasonlító'!G26</f>
        <v>0</v>
      </c>
      <c r="K60" s="262">
        <f>'1.sz.m-önk.össze.bev'!K60-'2.sz.m.összehasonlító'!B26</f>
        <v>128479128</v>
      </c>
      <c r="L60" s="262">
        <f>'1.sz.m-önk.össze.bev'!L60-'2.sz.m.összehasonlító'!C26</f>
        <v>128479128</v>
      </c>
      <c r="M60" s="262">
        <f>'1.sz.m-önk.össze.bev'!M60</f>
        <v>138566684</v>
      </c>
      <c r="N60" s="262">
        <f>'1.sz.m-önk.össze.bev'!N60</f>
        <v>138566684</v>
      </c>
      <c r="O60" s="262">
        <f>'1.sz.m-önk.össze.bev'!O60</f>
        <v>138566684</v>
      </c>
      <c r="P60" s="262">
        <f>'1.sz.m-önk.össze.bev'!P60</f>
        <v>138566684</v>
      </c>
      <c r="Q60" s="262">
        <f>'1.sz.m-önk.össze.bev'!Q60</f>
        <v>0</v>
      </c>
      <c r="R60" s="262">
        <f>'1.sz.m-önk.össze.bev'!R60</f>
        <v>1</v>
      </c>
      <c r="S60" s="262">
        <f>'1.sz.m-önk.össze.bev'!S60</f>
        <v>0</v>
      </c>
      <c r="T60" s="262">
        <f>'1.sz.m-önk.össze.bev'!T60</f>
        <v>0</v>
      </c>
      <c r="U60" s="262">
        <f>'1.sz.m-önk.össze.bev'!U60</f>
        <v>0</v>
      </c>
      <c r="V60" s="262">
        <f>'1.sz.m-önk.össze.bev'!V60</f>
        <v>0</v>
      </c>
      <c r="W60" s="262">
        <f>'1.sz.m-önk.össze.bev'!W60</f>
        <v>0</v>
      </c>
      <c r="X60" s="262">
        <f>'1.sz.m-önk.össze.bev'!X60</f>
        <v>0</v>
      </c>
      <c r="Y60" s="262">
        <f>'1.sz.m-önk.össze.bev'!Y60</f>
        <v>0</v>
      </c>
      <c r="Z60" s="262">
        <f>'1.sz.m-önk.össze.bev'!Z60</f>
        <v>0</v>
      </c>
      <c r="AA60" s="262">
        <f>'1.sz.m-önk.össze.bev'!AA60</f>
        <v>0</v>
      </c>
      <c r="AB60" s="262">
        <f>'1.sz.m-önk.össze.bev'!AB60</f>
        <v>0</v>
      </c>
      <c r="AC60" s="262">
        <f>'1.sz.m-önk.össze.bev'!AC60</f>
        <v>0</v>
      </c>
      <c r="AD60" s="262">
        <f>'1.sz.m-önk.össze.bev'!AD60</f>
        <v>0</v>
      </c>
      <c r="AE60" s="262">
        <f>'1.sz.m-önk.össze.bev'!AE60</f>
        <v>0</v>
      </c>
    </row>
    <row r="61" spans="1:31" ht="27" customHeight="1">
      <c r="A61" s="258" t="s">
        <v>163</v>
      </c>
      <c r="B61" s="1077" t="s">
        <v>204</v>
      </c>
      <c r="C61" s="1077"/>
      <c r="D61" s="1077"/>
      <c r="E61" s="262">
        <f>'1.sz.m-önk.össze.bev'!E58+'2.sz.m.összehasonlító'!B26</f>
        <v>22090000</v>
      </c>
      <c r="F61" s="262">
        <f>'1.sz.m-önk.össze.bev'!F58+'2.sz.m.összehasonlító'!C26</f>
        <v>22090000</v>
      </c>
      <c r="G61" s="262">
        <f>'1.sz.m-önk.össze.bev'!G58+'2.sz.m.összehasonlító'!D26</f>
        <v>28782286</v>
      </c>
      <c r="H61" s="262">
        <f>'1.sz.m-önk.össze.bev'!H58+'2.sz.m.összehasonlító'!E26</f>
        <v>65012019</v>
      </c>
      <c r="I61" s="262">
        <f>'1.sz.m-önk.össze.bev'!I58+'2.sz.m.összehasonlító'!F26</f>
        <v>65684207</v>
      </c>
      <c r="J61" s="262">
        <f>'1.sz.m-önk.össze.bev'!J58+'2.sz.m.összehasonlító'!G26</f>
        <v>0</v>
      </c>
      <c r="K61" s="262">
        <f>'1.sz.m-önk.össze.bev'!K58+'2.sz.m.összehasonlító'!B26</f>
        <v>22090000</v>
      </c>
      <c r="L61" s="262">
        <f>'1.sz.m-önk.össze.bev'!L58+'2.sz.m.összehasonlító'!C26</f>
        <v>22090000</v>
      </c>
      <c r="M61" s="262">
        <f>'1.sz.m-önk.össze.bev'!M58</f>
        <v>8315281</v>
      </c>
      <c r="N61" s="262">
        <f>'1.sz.m-önk.össze.bev'!N58</f>
        <v>8315281</v>
      </c>
      <c r="O61" s="262">
        <f>'1.sz.m-önk.össze.bev'!O58</f>
        <v>8315281</v>
      </c>
      <c r="P61" s="262">
        <f>'1.sz.m-önk.össze.bev'!P58</f>
        <v>8315281</v>
      </c>
      <c r="Q61" s="262">
        <f>'1.sz.m-önk.össze.bev'!Q58</f>
        <v>0</v>
      </c>
      <c r="R61" s="262">
        <f>'1.sz.m-önk.össze.bev'!R58</f>
        <v>1</v>
      </c>
      <c r="S61" s="262">
        <f>'1.sz.m-önk.össze.bev'!S58</f>
        <v>0</v>
      </c>
      <c r="T61" s="262">
        <f>'1.sz.m-önk.össze.bev'!T58</f>
        <v>0</v>
      </c>
      <c r="U61" s="262">
        <f>'1.sz.m-önk.össze.bev'!U58</f>
        <v>0</v>
      </c>
      <c r="V61" s="262">
        <f>'1.sz.m-önk.össze.bev'!V58</f>
        <v>0</v>
      </c>
      <c r="W61" s="262">
        <f>'1.sz.m-önk.össze.bev'!W58</f>
        <v>0</v>
      </c>
      <c r="X61" s="262">
        <f>'1.sz.m-önk.össze.bev'!X58</f>
        <v>0</v>
      </c>
      <c r="Y61" s="262">
        <f>'1.sz.m-önk.össze.bev'!Y58</f>
        <v>0</v>
      </c>
      <c r="Z61" s="262">
        <f>'1.sz.m-önk.össze.bev'!Z58</f>
        <v>0</v>
      </c>
      <c r="AA61" s="262">
        <f>'1.sz.m-önk.össze.bev'!AA58</f>
        <v>0</v>
      </c>
      <c r="AB61" s="262">
        <f>'1.sz.m-önk.össze.bev'!AB58</f>
        <v>0</v>
      </c>
      <c r="AC61" s="262">
        <f>'1.sz.m-önk.össze.bev'!AC58</f>
        <v>0</v>
      </c>
      <c r="AD61" s="262">
        <f>'1.sz.m-önk.össze.bev'!AD58</f>
        <v>0</v>
      </c>
      <c r="AE61" s="262">
        <f>'1.sz.m-önk.össze.bev'!AE58</f>
        <v>0</v>
      </c>
    </row>
    <row r="62" spans="1:31" ht="27" customHeight="1">
      <c r="A62" s="259" t="s">
        <v>164</v>
      </c>
      <c r="B62" s="1076" t="s">
        <v>544</v>
      </c>
      <c r="C62" s="1076"/>
      <c r="D62" s="1076"/>
      <c r="E62" s="263">
        <f>E30</f>
        <v>8964221</v>
      </c>
      <c r="F62" s="263">
        <f>F30</f>
        <v>37734221</v>
      </c>
      <c r="G62" s="263">
        <f>G30</f>
        <v>37734221</v>
      </c>
      <c r="H62" s="263">
        <f>H30</f>
        <v>38490156</v>
      </c>
      <c r="I62" s="263">
        <f>I30</f>
        <v>38490156</v>
      </c>
      <c r="J62" s="263">
        <f aca="true" t="shared" si="23" ref="J62:AD62">J30</f>
        <v>0</v>
      </c>
      <c r="K62" s="263">
        <f t="shared" si="23"/>
        <v>8964221</v>
      </c>
      <c r="L62" s="263">
        <f t="shared" si="23"/>
        <v>37734221</v>
      </c>
      <c r="M62" s="263">
        <f t="shared" si="23"/>
        <v>37734221</v>
      </c>
      <c r="N62" s="263">
        <f>N30</f>
        <v>38490156</v>
      </c>
      <c r="O62" s="263">
        <f>O30</f>
        <v>38490156</v>
      </c>
      <c r="P62" s="263">
        <f t="shared" si="23"/>
        <v>8964221</v>
      </c>
      <c r="Q62" s="263">
        <f t="shared" si="23"/>
        <v>0</v>
      </c>
      <c r="R62" s="263">
        <f t="shared" si="23"/>
        <v>0.23289645799305153</v>
      </c>
      <c r="S62" s="263">
        <f t="shared" si="23"/>
        <v>0</v>
      </c>
      <c r="T62" s="263">
        <f t="shared" si="23"/>
        <v>0</v>
      </c>
      <c r="U62" s="263">
        <f t="shared" si="23"/>
        <v>0</v>
      </c>
      <c r="V62" s="263">
        <f t="shared" si="23"/>
        <v>0</v>
      </c>
      <c r="W62" s="263">
        <f t="shared" si="23"/>
        <v>0</v>
      </c>
      <c r="X62" s="263">
        <f t="shared" si="23"/>
        <v>0</v>
      </c>
      <c r="Y62" s="263">
        <f t="shared" si="23"/>
        <v>0</v>
      </c>
      <c r="Z62" s="263">
        <f t="shared" si="23"/>
        <v>0</v>
      </c>
      <c r="AA62" s="263">
        <f t="shared" si="23"/>
        <v>0</v>
      </c>
      <c r="AB62" s="263">
        <f t="shared" si="23"/>
        <v>0</v>
      </c>
      <c r="AC62" s="263">
        <f t="shared" si="23"/>
        <v>0</v>
      </c>
      <c r="AD62" s="263">
        <f t="shared" si="23"/>
        <v>0</v>
      </c>
      <c r="AE62" s="263">
        <f>AE30</f>
        <v>0</v>
      </c>
    </row>
    <row r="63" spans="1:31" ht="27" customHeight="1">
      <c r="A63" s="257" t="s">
        <v>165</v>
      </c>
      <c r="B63" s="1077" t="s">
        <v>205</v>
      </c>
      <c r="C63" s="1077"/>
      <c r="D63" s="1077"/>
      <c r="E63" s="262">
        <v>0</v>
      </c>
      <c r="F63" s="262">
        <f>F62</f>
        <v>37734221</v>
      </c>
      <c r="G63" s="262">
        <f>G62</f>
        <v>37734221</v>
      </c>
      <c r="H63" s="262">
        <f>H62</f>
        <v>38490156</v>
      </c>
      <c r="I63" s="262">
        <f>I62</f>
        <v>38490156</v>
      </c>
      <c r="J63" s="262">
        <v>0</v>
      </c>
      <c r="K63" s="262">
        <v>0</v>
      </c>
      <c r="L63" s="262">
        <f>L62</f>
        <v>37734221</v>
      </c>
      <c r="M63" s="262">
        <f>M62</f>
        <v>37734221</v>
      </c>
      <c r="N63" s="262">
        <f>N62</f>
        <v>38490156</v>
      </c>
      <c r="O63" s="262">
        <f>O62</f>
        <v>38490156</v>
      </c>
      <c r="P63" s="262">
        <v>0</v>
      </c>
      <c r="Q63" s="262">
        <v>0</v>
      </c>
      <c r="R63" s="262">
        <v>0</v>
      </c>
      <c r="S63" s="262">
        <v>0</v>
      </c>
      <c r="T63" s="262">
        <v>0</v>
      </c>
      <c r="U63" s="262">
        <v>0</v>
      </c>
      <c r="V63" s="262">
        <v>0</v>
      </c>
      <c r="W63" s="262">
        <v>0</v>
      </c>
      <c r="X63" s="262">
        <v>0</v>
      </c>
      <c r="Y63" s="262">
        <v>0</v>
      </c>
      <c r="Z63" s="262">
        <v>0</v>
      </c>
      <c r="AA63" s="262">
        <v>0</v>
      </c>
      <c r="AB63" s="262">
        <v>0</v>
      </c>
      <c r="AC63" s="262">
        <v>0</v>
      </c>
      <c r="AD63" s="262">
        <v>0</v>
      </c>
      <c r="AE63" s="262">
        <v>0</v>
      </c>
    </row>
    <row r="64" spans="1:31" ht="27" customHeight="1" thickBot="1">
      <c r="A64" s="264" t="s">
        <v>166</v>
      </c>
      <c r="B64" s="1068" t="s">
        <v>206</v>
      </c>
      <c r="C64" s="1068"/>
      <c r="D64" s="1068"/>
      <c r="E64" s="265">
        <v>0</v>
      </c>
      <c r="F64" s="265">
        <v>0</v>
      </c>
      <c r="G64" s="265">
        <v>0</v>
      </c>
      <c r="H64" s="265">
        <v>0</v>
      </c>
      <c r="I64" s="265">
        <v>0</v>
      </c>
      <c r="J64" s="265">
        <v>0</v>
      </c>
      <c r="K64" s="265">
        <v>0</v>
      </c>
      <c r="L64" s="265">
        <v>0</v>
      </c>
      <c r="M64" s="265">
        <v>0</v>
      </c>
      <c r="N64" s="265">
        <v>0</v>
      </c>
      <c r="O64" s="265">
        <v>0</v>
      </c>
      <c r="P64" s="265">
        <v>0</v>
      </c>
      <c r="Q64" s="265">
        <v>0</v>
      </c>
      <c r="R64" s="265">
        <v>0</v>
      </c>
      <c r="S64" s="265">
        <v>0</v>
      </c>
      <c r="T64" s="265">
        <v>0</v>
      </c>
      <c r="U64" s="265">
        <v>0</v>
      </c>
      <c r="V64" s="265">
        <v>0</v>
      </c>
      <c r="W64" s="265">
        <v>0</v>
      </c>
      <c r="X64" s="265">
        <v>0</v>
      </c>
      <c r="Y64" s="265">
        <v>0</v>
      </c>
      <c r="Z64" s="265">
        <v>0</v>
      </c>
      <c r="AA64" s="265">
        <v>0</v>
      </c>
      <c r="AB64" s="265">
        <v>0</v>
      </c>
      <c r="AC64" s="265">
        <v>0</v>
      </c>
      <c r="AD64" s="265">
        <v>0</v>
      </c>
      <c r="AE64" s="265">
        <v>0</v>
      </c>
    </row>
  </sheetData>
  <sheetProtection/>
  <mergeCells count="40">
    <mergeCell ref="B63:D63"/>
    <mergeCell ref="C31:D31"/>
    <mergeCell ref="C49:S49"/>
    <mergeCell ref="A36:D36"/>
    <mergeCell ref="B41:D41"/>
    <mergeCell ref="C44:D44"/>
    <mergeCell ref="B46:D46"/>
    <mergeCell ref="B47:D47"/>
    <mergeCell ref="B45:D45"/>
    <mergeCell ref="C43:S43"/>
    <mergeCell ref="B64:D64"/>
    <mergeCell ref="B52:D52"/>
    <mergeCell ref="B53:D53"/>
    <mergeCell ref="B58:D58"/>
    <mergeCell ref="B59:D59"/>
    <mergeCell ref="B61:D61"/>
    <mergeCell ref="B60:D60"/>
    <mergeCell ref="C55:S55"/>
    <mergeCell ref="C57:D57"/>
    <mergeCell ref="B62:D62"/>
    <mergeCell ref="C39:S39"/>
    <mergeCell ref="C19:D19"/>
    <mergeCell ref="A1:Y1"/>
    <mergeCell ref="A3:D3"/>
    <mergeCell ref="B5:D5"/>
    <mergeCell ref="Y3:AE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7" max="65" man="1"/>
    <brk id="29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="85" zoomScaleNormal="85" workbookViewId="0" topLeftCell="A1">
      <selection activeCell="F26" sqref="F26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customWidth="1"/>
    <col min="5" max="5" width="19.57421875" style="13" customWidth="1"/>
    <col min="6" max="6" width="19.421875" style="13" customWidth="1"/>
    <col min="7" max="7" width="11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customWidth="1"/>
    <col min="12" max="12" width="19.28125" style="13" customWidth="1"/>
    <col min="13" max="13" width="18.421875" style="13" customWidth="1"/>
    <col min="14" max="14" width="11.421875" style="13" hidden="1" customWidth="1"/>
    <col min="15" max="15" width="13.28125" style="13" customWidth="1"/>
    <col min="16" max="16384" width="9.140625" style="13" customWidth="1"/>
  </cols>
  <sheetData>
    <row r="1" spans="8:9" ht="12.75">
      <c r="H1" s="1088" t="s">
        <v>26</v>
      </c>
      <c r="I1" s="1088"/>
    </row>
    <row r="2" spans="1:9" ht="19.5">
      <c r="A2" s="1089" t="s">
        <v>21</v>
      </c>
      <c r="B2" s="1089"/>
      <c r="C2" s="1089"/>
      <c r="D2" s="1089"/>
      <c r="E2" s="1089"/>
      <c r="F2" s="1089"/>
      <c r="G2" s="1089"/>
      <c r="H2" s="1089"/>
      <c r="I2" s="1089"/>
    </row>
    <row r="3" spans="1:9" ht="11.25" customHeight="1">
      <c r="A3" s="65"/>
      <c r="B3" s="65"/>
      <c r="C3" s="65"/>
      <c r="D3" s="65"/>
      <c r="E3" s="65"/>
      <c r="F3" s="65"/>
      <c r="G3" s="65"/>
      <c r="H3" s="65"/>
      <c r="I3" s="64" t="s">
        <v>511</v>
      </c>
    </row>
    <row r="4" spans="1:9" ht="17.25" customHeight="1" thickBot="1">
      <c r="A4" s="1090" t="s">
        <v>201</v>
      </c>
      <c r="B4" s="1091"/>
      <c r="C4" s="1091"/>
      <c r="D4" s="1091"/>
      <c r="E4" s="1091"/>
      <c r="F4" s="1091"/>
      <c r="G4" s="1091"/>
      <c r="H4" s="1090"/>
      <c r="I4" s="1091"/>
    </row>
    <row r="5" spans="1:14" ht="33" customHeight="1" thickBot="1">
      <c r="A5" s="326" t="s">
        <v>7</v>
      </c>
      <c r="B5" s="407" t="s">
        <v>233</v>
      </c>
      <c r="C5" s="408" t="s">
        <v>231</v>
      </c>
      <c r="D5" s="408" t="s">
        <v>234</v>
      </c>
      <c r="E5" s="408" t="s">
        <v>237</v>
      </c>
      <c r="F5" s="408" t="s">
        <v>251</v>
      </c>
      <c r="G5" s="409" t="s">
        <v>256</v>
      </c>
      <c r="H5" s="370" t="s">
        <v>8</v>
      </c>
      <c r="I5" s="407" t="s">
        <v>233</v>
      </c>
      <c r="J5" s="408" t="s">
        <v>231</v>
      </c>
      <c r="K5" s="408" t="s">
        <v>234</v>
      </c>
      <c r="L5" s="408" t="s">
        <v>237</v>
      </c>
      <c r="M5" s="408" t="s">
        <v>251</v>
      </c>
      <c r="N5" s="409" t="s">
        <v>256</v>
      </c>
    </row>
    <row r="6" spans="1:14" ht="12.75">
      <c r="A6" s="328" t="s">
        <v>339</v>
      </c>
      <c r="B6" s="410">
        <f>'3.sz.m Önk  bev.'!E7</f>
        <v>131360000</v>
      </c>
      <c r="C6" s="410">
        <f>'3.sz.m Önk  bev.'!F7</f>
        <v>131360000</v>
      </c>
      <c r="D6" s="410">
        <f>'3.sz.m Önk  bev.'!G7</f>
        <v>132164653</v>
      </c>
      <c r="E6" s="410">
        <f>'3.sz.m Önk  bev.'!H7</f>
        <v>132326841</v>
      </c>
      <c r="F6" s="410">
        <f>'3.sz.m Önk  bev.'!I7</f>
        <v>134376203</v>
      </c>
      <c r="G6" s="410">
        <f>'3.sz.m Önk  bev.'!J7</f>
        <v>0</v>
      </c>
      <c r="H6" s="394" t="s">
        <v>175</v>
      </c>
      <c r="I6" s="430">
        <f>'4.sz.m.ÖNK kiadás'!E7+'5.1 sz. m Köz Hiv'!D34+'5.2 sz. m ÁMK'!D38+'üres lap'!D27</f>
        <v>163677296</v>
      </c>
      <c r="J6" s="430">
        <f>'4.sz.m.ÖNK kiadás'!F7+'5.1 sz. m Köz Hiv'!E34+'5.2 sz. m ÁMK'!E38+'üres lap'!E27</f>
        <v>163677296</v>
      </c>
      <c r="K6" s="430">
        <f>'4.sz.m.ÖNK kiadás'!G7+'5.1 sz. m Köz Hiv'!F34+'5.2 sz. m ÁMK'!F38+'üres lap'!F27</f>
        <v>163677296</v>
      </c>
      <c r="L6" s="430">
        <f>'4.sz.m.ÖNK kiadás'!H7+'5.1 sz. m Köz Hiv'!G34+'5.2 sz. m ÁMK'!G38+'üres lap'!G27</f>
        <v>163527298</v>
      </c>
      <c r="M6" s="430">
        <f>'4.sz.m.ÖNK kiadás'!I7+'5.1 sz. m Köz Hiv'!H34+'5.2 sz. m ÁMK'!H38+'üres lap'!H27</f>
        <v>164747298</v>
      </c>
      <c r="N6" s="431">
        <f>'4.sz.m.ÖNK kiadás'!J7+'5.1 sz. m Köz Hiv'!I34+'5.2 sz. m ÁMK'!I38+'üres lap'!I27</f>
        <v>0</v>
      </c>
    </row>
    <row r="7" spans="1:14" ht="12.75">
      <c r="A7" s="329" t="s">
        <v>340</v>
      </c>
      <c r="B7" s="412">
        <f>'3.sz.m Önk  bev.'!E21+'5.1 sz. m Köz Hiv'!D9+'5.2 sz. m ÁMK'!D9-8316000</f>
        <v>41772918</v>
      </c>
      <c r="C7" s="412">
        <f>'3.sz.m Önk  bev.'!F21+'5.1 sz. m Köz Hiv'!E9+'5.2 sz. m ÁMK'!E9-8316000</f>
        <v>41772918</v>
      </c>
      <c r="D7" s="412">
        <f>'3.sz.m Önk  bev.'!G21+'5.1 sz. m Köz Hiv'!F9+'5.2 sz. m ÁMK'!F9</f>
        <v>51846426</v>
      </c>
      <c r="E7" s="412">
        <f>'3.sz.m Önk  bev.'!H21+'5.1 sz. m Köz Hiv'!G9+'5.2 sz. m ÁMK'!G9</f>
        <v>52805334</v>
      </c>
      <c r="F7" s="412">
        <f>'3.sz.m Önk  bev.'!I21+'5.1 sz. m Köz Hiv'!H9+'5.2 sz. m ÁMK'!H9</f>
        <v>53489116</v>
      </c>
      <c r="G7" s="412">
        <f>'3.sz.m Önk  bev.'!J21+'5.1 sz. m Köz Hiv'!I9+'5.2 sz. m ÁMK'!I9-7931</f>
        <v>-7931</v>
      </c>
      <c r="H7" s="395" t="s">
        <v>176</v>
      </c>
      <c r="I7" s="412">
        <f>'4.sz.m.ÖNK kiadás'!E8+'5.1 sz. m Köz Hiv'!D35+'5.2 sz. m ÁMK'!D39+'üres lap'!D28</f>
        <v>43314099</v>
      </c>
      <c r="J7" s="412">
        <f>'4.sz.m.ÖNK kiadás'!F8+'5.1 sz. m Köz Hiv'!E35+'5.2 sz. m ÁMK'!E39+'üres lap'!E28</f>
        <v>43314099</v>
      </c>
      <c r="K7" s="412">
        <f>'4.sz.m.ÖNK kiadás'!G8+'5.1 sz. m Köz Hiv'!F35+'5.2 sz. m ÁMK'!F39+'üres lap'!F28</f>
        <v>43314099</v>
      </c>
      <c r="L7" s="412">
        <f>'4.sz.m.ÖNK kiadás'!H8+'5.1 sz. m Köz Hiv'!G35+'5.2 sz. m ÁMK'!G39+'üres lap'!G28</f>
        <v>43327135</v>
      </c>
      <c r="M7" s="412">
        <f>'4.sz.m.ÖNK kiadás'!I8+'5.1 sz. m Köz Hiv'!H35+'5.2 sz. m ÁMK'!H39+'üres lap'!H28</f>
        <v>43677217</v>
      </c>
      <c r="N7" s="413">
        <f>'4.sz.m.ÖNK kiadás'!J8+'5.1 sz. m Köz Hiv'!I35+'5.2 sz. m ÁMK'!I39+'üres lap'!I28</f>
        <v>0</v>
      </c>
    </row>
    <row r="8" spans="1:14" ht="25.5">
      <c r="A8" s="329" t="s">
        <v>341</v>
      </c>
      <c r="B8" s="412">
        <f>'3.sz.m Önk  bev.'!E32+'5.1 sz. m Köz Hiv'!D14+'5.2 sz. m ÁMK'!D18</f>
        <v>279000033</v>
      </c>
      <c r="C8" s="412">
        <f>'3.sz.m Önk  bev.'!F32+'5.1 sz. m Köz Hiv'!E14+'5.2 sz. m ÁMK'!E18</f>
        <v>279000033</v>
      </c>
      <c r="D8" s="412">
        <f>'3.sz.m Önk  bev.'!G32+'5.1 sz. m Köz Hiv'!F14+'5.2 sz. m ÁMK'!F18</f>
        <v>279880420</v>
      </c>
      <c r="E8" s="412">
        <f>'3.sz.m Önk  bev.'!H32+'5.1 sz. m Köz Hiv'!G14+'5.2 sz. m ÁMK'!G18</f>
        <v>279593671</v>
      </c>
      <c r="F8" s="412">
        <f>'3.sz.m Önk  bev.'!I32+'5.1 sz. m Köz Hiv'!H14+'5.2 sz. m ÁMK'!H18</f>
        <v>278790393</v>
      </c>
      <c r="G8" s="412">
        <f>'3.sz.m Önk  bev.'!J32+'5.1 sz. m Köz Hiv'!I14+'5.2 sz. m ÁMK'!I18</f>
        <v>0</v>
      </c>
      <c r="H8" s="395" t="s">
        <v>177</v>
      </c>
      <c r="I8" s="412">
        <f>'4.sz.m.ÖNK kiadás'!E9+'5.1 sz. m Köz Hiv'!D36+'5.2 sz. m ÁMK'!D40+'üres lap'!D29</f>
        <v>129033720</v>
      </c>
      <c r="J8" s="412">
        <f>'4.sz.m.ÖNK kiadás'!F9+'5.1 sz. m Köz Hiv'!E36+'5.2 sz. m ÁMK'!E40+'üres lap'!E29</f>
        <v>129033720</v>
      </c>
      <c r="K8" s="412">
        <f>'4.sz.m.ÖNK kiadás'!G9+'5.1 sz. m Köz Hiv'!F36+'5.2 sz. m ÁMK'!F40+'üres lap'!F29</f>
        <v>129553416</v>
      </c>
      <c r="L8" s="412">
        <f>'4.sz.m.ÖNK kiadás'!H9+'5.1 sz. m Köz Hiv'!G36+'5.2 sz. m ÁMK'!G40+'üres lap'!G29</f>
        <v>131773987</v>
      </c>
      <c r="M8" s="412">
        <f>'4.sz.m.ÖNK kiadás'!I9+'5.1 sz. m Köz Hiv'!H36+'5.2 sz. m ÁMK'!H40+'üres lap'!H29</f>
        <v>135071938</v>
      </c>
      <c r="N8" s="413">
        <f>'4.sz.m.ÖNK kiadás'!J9+'5.1 sz. m Köz Hiv'!I36+'5.2 sz. m ÁMK'!I40+'üres lap'!I29</f>
        <v>0</v>
      </c>
    </row>
    <row r="9" spans="1:14" ht="12.75">
      <c r="A9" s="329" t="s">
        <v>342</v>
      </c>
      <c r="B9" s="412">
        <f>'3.sz.m Önk  bev.'!E50+'5.1 sz. m Köz Hiv'!D20+'5.2 sz. m ÁMK'!D24</f>
        <v>60000</v>
      </c>
      <c r="C9" s="412">
        <f>'3.sz.m Önk  bev.'!F50+'5.1 sz. m Köz Hiv'!E20+'5.2 sz. m ÁMK'!E24</f>
        <v>60000</v>
      </c>
      <c r="D9" s="412">
        <f>'3.sz.m Önk  bev.'!G50+'5.1 sz. m Köz Hiv'!F20+'5.2 sz. m ÁMK'!F24</f>
        <v>60000</v>
      </c>
      <c r="E9" s="412">
        <f>'3.sz.m Önk  bev.'!H50+'5.1 sz. m Köz Hiv'!G20+'5.2 sz. m ÁMK'!G24</f>
        <v>260000</v>
      </c>
      <c r="F9" s="412">
        <f>'3.sz.m Önk  bev.'!I50+'5.1 sz. m Köz Hiv'!H20+'5.2 sz. m ÁMK'!H24</f>
        <v>260000</v>
      </c>
      <c r="G9" s="412">
        <f>'3.sz.m Önk  bev.'!J50+'5.1 sz. m Köz Hiv'!I20+'5.2 sz. m ÁMK'!I24</f>
        <v>0</v>
      </c>
      <c r="H9" s="395" t="s">
        <v>178</v>
      </c>
      <c r="I9" s="432">
        <f>'4.sz.m.ÖNK kiadás'!E10+'5.1 sz. m Köz Hiv'!D37+'5.2 sz. m ÁMK'!D41+'üres lap'!D30</f>
        <v>4774766</v>
      </c>
      <c r="J9" s="432">
        <f>'4.sz.m.ÖNK kiadás'!F10+'5.1 sz. m Köz Hiv'!E37+'5.2 sz. m ÁMK'!E41+'üres lap'!E30</f>
        <v>4774766</v>
      </c>
      <c r="K9" s="432">
        <f>'4.sz.m.ÖNK kiadás'!G10+'5.1 sz. m Köz Hiv'!F37+'5.2 sz. m ÁMK'!F41+'üres lap'!F30</f>
        <v>4777266</v>
      </c>
      <c r="L9" s="432">
        <f>'4.sz.m.ÖNK kiadás'!H10+'5.1 sz. m Köz Hiv'!G37+'5.2 sz. m ÁMK'!G41+'üres lap'!G30</f>
        <v>4777266</v>
      </c>
      <c r="M9" s="432">
        <f>'4.sz.m.ÖNK kiadás'!I10+'5.1 sz. m Köz Hiv'!H37+'5.2 sz. m ÁMK'!H41+'üres lap'!H30</f>
        <v>4755036</v>
      </c>
      <c r="N9" s="433">
        <f>'4.sz.m.ÖNK kiadás'!J10+'5.1 sz. m Köz Hiv'!I37+'5.2 sz. m ÁMK'!I41+'üres lap'!I30</f>
        <v>0</v>
      </c>
    </row>
    <row r="10" spans="1:15" ht="12.75">
      <c r="A10" s="329"/>
      <c r="B10" s="412"/>
      <c r="C10" s="412"/>
      <c r="D10" s="412"/>
      <c r="E10" s="412"/>
      <c r="F10" s="412"/>
      <c r="G10" s="412"/>
      <c r="H10" s="396" t="s">
        <v>179</v>
      </c>
      <c r="I10" s="412">
        <f>'4.sz.m.ÖNK kiadás'!E11+'5.1 sz. m Köz Hiv'!D38+'5.2 sz. m ÁMK'!D42+'üres lap'!D31</f>
        <v>143300320</v>
      </c>
      <c r="J10" s="412">
        <f>'4.sz.m.ÖNK kiadás'!F11+'5.1 sz. m Köz Hiv'!E38+'5.2 sz. m ÁMK'!E42+'üres lap'!E31</f>
        <v>143481377</v>
      </c>
      <c r="K10" s="412">
        <f>'4.sz.m.ÖNK kiadás'!G11+'5.1 sz. m Köz Hiv'!F38+'5.2 sz. m ÁMK'!F42+'üres lap'!F31</f>
        <v>143491377</v>
      </c>
      <c r="L10" s="412">
        <f>'4.sz.m.ÖNK kiadás'!H11+'5.1 sz. m Köz Hiv'!G38+'5.2 sz. m ÁMK'!G42+'üres lap'!G31</f>
        <v>145756175</v>
      </c>
      <c r="M10" s="412">
        <f>'4.sz.m.ÖNK kiadás'!I11+'5.1 sz. m Köz Hiv'!H38+'5.2 sz. m ÁMK'!H42+'üres lap'!H31</f>
        <v>142145175</v>
      </c>
      <c r="N10" s="413">
        <f>'4.sz.m.ÖNK kiadás'!J11+'5.1 sz. m Köz Hiv'!I38+'5.2 sz. m ÁMK'!I42+'üres lap'!I31</f>
        <v>0</v>
      </c>
      <c r="O10" s="27"/>
    </row>
    <row r="11" spans="1:14" ht="12.75">
      <c r="A11" s="329"/>
      <c r="B11" s="412"/>
      <c r="C11" s="412"/>
      <c r="D11" s="412"/>
      <c r="E11" s="412"/>
      <c r="F11" s="412"/>
      <c r="G11" s="412"/>
      <c r="H11" s="395" t="s">
        <v>180</v>
      </c>
      <c r="I11" s="432">
        <f>'4.sz.m.ÖNK kiadás'!E25</f>
        <v>87607657</v>
      </c>
      <c r="J11" s="432">
        <f>'4.sz.m.ÖNK kiadás'!F25</f>
        <v>58656600</v>
      </c>
      <c r="K11" s="432">
        <f>'4.sz.m.ÖNK kiadás'!G25</f>
        <v>59503503</v>
      </c>
      <c r="L11" s="432">
        <f>'4.sz.m.ÖNK kiadás'!H25</f>
        <v>19959710</v>
      </c>
      <c r="M11" s="432">
        <f>'4.sz.m.ÖNK kiadás'!I25</f>
        <v>19982585</v>
      </c>
      <c r="N11" s="433">
        <f>'4.sz.m.ÖNK kiadás'!J25</f>
        <v>0</v>
      </c>
    </row>
    <row r="12" spans="1:14" ht="12.75" hidden="1">
      <c r="A12" s="330"/>
      <c r="B12" s="414"/>
      <c r="C12" s="414"/>
      <c r="D12" s="414"/>
      <c r="E12" s="414"/>
      <c r="F12" s="414"/>
      <c r="G12" s="414"/>
      <c r="H12" s="397"/>
      <c r="I12" s="414"/>
      <c r="J12" s="414"/>
      <c r="K12" s="414"/>
      <c r="L12" s="414"/>
      <c r="M12" s="414"/>
      <c r="N12" s="415"/>
    </row>
    <row r="13" spans="1:14" ht="16.5" customHeight="1" hidden="1" thickBot="1">
      <c r="A13" s="331"/>
      <c r="B13" s="416"/>
      <c r="C13" s="416"/>
      <c r="D13" s="416"/>
      <c r="E13" s="416"/>
      <c r="F13" s="416"/>
      <c r="G13" s="416"/>
      <c r="H13" s="398"/>
      <c r="I13" s="416"/>
      <c r="J13" s="416"/>
      <c r="K13" s="416"/>
      <c r="L13" s="416"/>
      <c r="M13" s="416"/>
      <c r="N13" s="417"/>
    </row>
    <row r="14" spans="1:14" ht="24" customHeight="1" thickBot="1">
      <c r="A14" s="332" t="s">
        <v>182</v>
      </c>
      <c r="B14" s="418">
        <f aca="true" t="shared" si="0" ref="B14:G14">SUM(B6:B9)</f>
        <v>452192951</v>
      </c>
      <c r="C14" s="418">
        <f t="shared" si="0"/>
        <v>452192951</v>
      </c>
      <c r="D14" s="418">
        <f>SUM(D6:D9)</f>
        <v>463951499</v>
      </c>
      <c r="E14" s="418">
        <f>SUM(E6:E9)</f>
        <v>464985846</v>
      </c>
      <c r="F14" s="418">
        <f>SUM(F6:F9)</f>
        <v>466915712</v>
      </c>
      <c r="G14" s="418">
        <f t="shared" si="0"/>
        <v>-7931</v>
      </c>
      <c r="H14" s="619" t="s">
        <v>183</v>
      </c>
      <c r="I14" s="418">
        <f aca="true" t="shared" si="1" ref="I14:N14">SUM(I6:I13)</f>
        <v>571707858</v>
      </c>
      <c r="J14" s="418">
        <f t="shared" si="1"/>
        <v>542937858</v>
      </c>
      <c r="K14" s="418">
        <f>SUM(K6:K13)</f>
        <v>544316957</v>
      </c>
      <c r="L14" s="418">
        <f>SUM(L6:L13)</f>
        <v>509121571</v>
      </c>
      <c r="M14" s="418">
        <f>SUM(M6:M13)</f>
        <v>510379249</v>
      </c>
      <c r="N14" s="419">
        <f t="shared" si="1"/>
        <v>0</v>
      </c>
    </row>
    <row r="15" spans="1:14" ht="18.75" customHeight="1">
      <c r="A15" s="333" t="s">
        <v>542</v>
      </c>
      <c r="B15" s="327">
        <f>'3.sz.m Önk  bev.'!E59+'5.1 sz. m Köz Hiv'!D25+'5.2 sz. m ÁMK'!D29-B26</f>
        <v>128479128</v>
      </c>
      <c r="C15" s="327">
        <f>'3.sz.m Önk  bev.'!F59+'5.1 sz. m Köz Hiv'!E25+'5.2 sz. m ÁMK'!E29-10090000</f>
        <v>128479128</v>
      </c>
      <c r="D15" s="327">
        <f>'3.sz.m Önk  bev.'!G59+'5.1 sz. m Köz Hiv'!F25+'5.2 sz. m ÁMK'!F29-10090000-8316000-2061005</f>
        <v>118099679</v>
      </c>
      <c r="E15" s="327">
        <f>'3.sz.m Önk  bev.'!H59+'5.1 sz. m Köz Hiv'!G25+'5.2 sz. m ÁMK'!G29-10090000-8316000-2061005-36229733</f>
        <v>81869946</v>
      </c>
      <c r="F15" s="327">
        <f>'3.sz.m Önk  bev.'!I59+'5.1 sz. m Köz Hiv'!H25+'5.2 sz. m ÁMK'!H29-10090000-8316000-2061005-36229733-672188</f>
        <v>81197758</v>
      </c>
      <c r="G15" s="327">
        <f>'3.sz.m Önk  bev.'!J59+'5.1 sz. m Köz Hiv'!I25+'5.2 sz. m ÁMK'!I29</f>
        <v>0</v>
      </c>
      <c r="H15" s="394" t="s">
        <v>549</v>
      </c>
      <c r="I15" s="410">
        <v>0</v>
      </c>
      <c r="J15" s="410">
        <f>'4.sz.m.ÖNK kiadás'!F34</f>
        <v>28770000</v>
      </c>
      <c r="K15" s="410">
        <f>'4.sz.m.ÖNK kiadás'!G34</f>
        <v>28770000</v>
      </c>
      <c r="L15" s="410">
        <f>'4.sz.m.ÖNK kiadás'!H34</f>
        <v>28770000</v>
      </c>
      <c r="M15" s="410">
        <f>'4.sz.m.ÖNK kiadás'!I34</f>
        <v>28770000</v>
      </c>
      <c r="N15" s="411">
        <v>0</v>
      </c>
    </row>
    <row r="16" spans="1:14" ht="15" customHeight="1" thickBot="1">
      <c r="A16" s="334" t="s">
        <v>506</v>
      </c>
      <c r="B16" s="420"/>
      <c r="C16" s="420"/>
      <c r="D16" s="420"/>
      <c r="E16" s="420"/>
      <c r="F16" s="420"/>
      <c r="G16" s="420">
        <f>'3.sz.m Önk  bev.'!J58</f>
        <v>0</v>
      </c>
      <c r="H16" s="397" t="s">
        <v>476</v>
      </c>
      <c r="I16" s="414">
        <f>'4.sz.m.ÖNK kiadás'!E36</f>
        <v>8964221</v>
      </c>
      <c r="J16" s="414">
        <f>'4.sz.m.ÖNK kiadás'!F36</f>
        <v>8964221</v>
      </c>
      <c r="K16" s="414">
        <f>'4.sz.m.ÖNK kiadás'!G36</f>
        <v>8964221</v>
      </c>
      <c r="L16" s="414">
        <f>'4.sz.m.ÖNK kiadás'!H36</f>
        <v>8964221</v>
      </c>
      <c r="M16" s="414">
        <f>'4.sz.m.ÖNK kiadás'!I36</f>
        <v>8964221</v>
      </c>
      <c r="N16" s="414">
        <f>'4.sz.m.ÖNK kiadás'!J36</f>
        <v>0</v>
      </c>
    </row>
    <row r="17" spans="1:14" ht="25.5" customHeight="1" thickBot="1">
      <c r="A17" s="335" t="s">
        <v>187</v>
      </c>
      <c r="B17" s="421">
        <f aca="true" t="shared" si="2" ref="B17:G17">SUM(B15:B16)</f>
        <v>128479128</v>
      </c>
      <c r="C17" s="421">
        <f t="shared" si="2"/>
        <v>128479128</v>
      </c>
      <c r="D17" s="421">
        <f>SUM(D15:D16)</f>
        <v>118099679</v>
      </c>
      <c r="E17" s="421">
        <f>SUM(E15:E16)</f>
        <v>81869946</v>
      </c>
      <c r="F17" s="421">
        <f>SUM(F15:F16)</f>
        <v>81197758</v>
      </c>
      <c r="G17" s="421">
        <f t="shared" si="2"/>
        <v>0</v>
      </c>
      <c r="H17" s="399" t="s">
        <v>194</v>
      </c>
      <c r="I17" s="421">
        <f aca="true" t="shared" si="3" ref="I17:N17">SUM(I15:I16)</f>
        <v>8964221</v>
      </c>
      <c r="J17" s="421">
        <f t="shared" si="3"/>
        <v>37734221</v>
      </c>
      <c r="K17" s="421">
        <f>SUM(K15:K16)</f>
        <v>37734221</v>
      </c>
      <c r="L17" s="421">
        <f>SUM(L15:L16)</f>
        <v>37734221</v>
      </c>
      <c r="M17" s="421">
        <f>SUM(M15:M16)</f>
        <v>37734221</v>
      </c>
      <c r="N17" s="422">
        <f t="shared" si="3"/>
        <v>0</v>
      </c>
    </row>
    <row r="18" spans="1:14" ht="22.5" customHeight="1" thickBot="1">
      <c r="A18" s="336" t="s">
        <v>168</v>
      </c>
      <c r="B18" s="423">
        <f aca="true" t="shared" si="4" ref="B18:G18">B14+B17</f>
        <v>580672079</v>
      </c>
      <c r="C18" s="423">
        <f t="shared" si="4"/>
        <v>580672079</v>
      </c>
      <c r="D18" s="423">
        <f>D14+D17</f>
        <v>582051178</v>
      </c>
      <c r="E18" s="423">
        <f>E14+E17</f>
        <v>546855792</v>
      </c>
      <c r="F18" s="423">
        <f>F14+F17</f>
        <v>548113470</v>
      </c>
      <c r="G18" s="423">
        <f t="shared" si="4"/>
        <v>-7931</v>
      </c>
      <c r="H18" s="400" t="s">
        <v>169</v>
      </c>
      <c r="I18" s="423">
        <f aca="true" t="shared" si="5" ref="I18:N18">I14+I17</f>
        <v>580672079</v>
      </c>
      <c r="J18" s="423">
        <f t="shared" si="5"/>
        <v>580672079</v>
      </c>
      <c r="K18" s="423">
        <f>K14+K17</f>
        <v>582051178</v>
      </c>
      <c r="L18" s="423">
        <f>L14+L17</f>
        <v>546855792</v>
      </c>
      <c r="M18" s="423">
        <f>M14+M17</f>
        <v>548113470</v>
      </c>
      <c r="N18" s="424">
        <f t="shared" si="5"/>
        <v>0</v>
      </c>
    </row>
    <row r="19" spans="1:11" ht="22.5" customHeight="1" thickBot="1">
      <c r="A19" s="1090" t="s">
        <v>202</v>
      </c>
      <c r="B19" s="1091"/>
      <c r="C19" s="1091"/>
      <c r="D19" s="1091"/>
      <c r="E19" s="1091"/>
      <c r="F19" s="1091"/>
      <c r="G19" s="1091"/>
      <c r="H19" s="1090"/>
      <c r="I19" s="1091"/>
      <c r="J19" s="27"/>
      <c r="K19" s="27"/>
    </row>
    <row r="20" spans="1:16" ht="12.75">
      <c r="A20" s="328" t="s">
        <v>170</v>
      </c>
      <c r="B20" s="425">
        <f>'3.sz.m Önk  bev.'!E43+'5.1 sz. m Köz Hiv'!D17+'5.2 sz. m ÁMK'!D21</f>
        <v>6000000</v>
      </c>
      <c r="C20" s="425">
        <f>'3.sz.m Önk  bev.'!F41+'5.1 sz. m Köz Hiv'!E17+'5.2 sz. m ÁMK'!E21</f>
        <v>6000000</v>
      </c>
      <c r="D20" s="425">
        <f>'3.sz.m Önk  bev.'!G41+'5.1 sz. m Köz Hiv'!F17+'5.2 sz. m ÁMK'!F21</f>
        <v>6000000</v>
      </c>
      <c r="E20" s="425">
        <f>'3.sz.m Önk  bev.'!H41+'5.1 sz. m Köz Hiv'!G17+'5.2 sz. m ÁMK'!G21</f>
        <v>7500000</v>
      </c>
      <c r="F20" s="425">
        <f>'3.sz.m Önk  bev.'!I41+'5.1 sz. m Köz Hiv'!H17+'5.2 sz. m ÁMK'!H21</f>
        <v>7500000</v>
      </c>
      <c r="G20" s="425">
        <f>'3.sz.m Önk  bev.'!J41+'5.1 sz. m Köz Hiv'!I17+'5.2 sz. m ÁMK'!I21</f>
        <v>0</v>
      </c>
      <c r="H20" s="401" t="s">
        <v>172</v>
      </c>
      <c r="I20" s="430">
        <f>'4.sz.m.ÖNK kiadás'!E18+'5.1 sz. m Köz Hiv'!D40+'5.2 sz. m ÁMK'!D44</f>
        <v>2406000</v>
      </c>
      <c r="J20" s="430">
        <f>'4.sz.m.ÖNK kiadás'!F18+'5.1 sz. m Köz Hiv'!E40+'5.2 sz. m ÁMK'!E44</f>
        <v>2406000</v>
      </c>
      <c r="K20" s="430">
        <f>'4.sz.m.ÖNK kiadás'!G18+'5.1 sz. m Köz Hiv'!F40+'5.2 sz. m ÁMK'!F44</f>
        <v>4682220</v>
      </c>
      <c r="L20" s="430">
        <f>'4.sz.m.ÖNK kiadás'!H18+'5.1 sz. m Köz Hiv'!G40+'5.2 sz. m ÁMK'!G44</f>
        <v>7651650</v>
      </c>
      <c r="M20" s="430">
        <f>'4.sz.m.ÖNK kiadás'!I18+'5.1 sz. m Köz Hiv'!H40+'5.2 sz. m ÁMK'!H44</f>
        <v>8002170</v>
      </c>
      <c r="N20" s="430">
        <f>'4.sz.m.ÖNK kiadás'!J18+'5.1 sz. m Köz Hiv'!I40+'5.2 sz. m ÁMK'!I44</f>
        <v>0</v>
      </c>
      <c r="O20" s="27"/>
      <c r="P20" s="27"/>
    </row>
    <row r="21" spans="1:15" ht="25.5">
      <c r="A21" s="329" t="s">
        <v>551</v>
      </c>
      <c r="B21" s="412">
        <v>0</v>
      </c>
      <c r="C21" s="412"/>
      <c r="D21" s="412">
        <f>'3.sz.m Önk  bev.'!G51</f>
        <v>300000</v>
      </c>
      <c r="E21" s="412">
        <f>'3.sz.m Önk  bev.'!H51</f>
        <v>4638034</v>
      </c>
      <c r="F21" s="412">
        <f>'3.sz.m Önk  bev.'!I51</f>
        <v>4664034</v>
      </c>
      <c r="G21" s="412"/>
      <c r="H21" s="395" t="s">
        <v>173</v>
      </c>
      <c r="I21" s="412">
        <f>'4.sz.m.ÖNK kiadás'!E19</f>
        <v>29000000</v>
      </c>
      <c r="J21" s="412">
        <f>'4.sz.m.ÖNK kiadás'!F19+'5.2 sz. m ÁMK'!E46</f>
        <v>29000000</v>
      </c>
      <c r="K21" s="412">
        <f>'4.sz.m.ÖNK kiadás'!G19+'5.2 sz. m ÁMK'!F46</f>
        <v>25404181</v>
      </c>
      <c r="L21" s="412">
        <f>'4.sz.m.ÖNK kiadás'!H19+'5.2 sz. m ÁMK'!G46</f>
        <v>27387324</v>
      </c>
      <c r="M21" s="412">
        <f>'4.sz.m.ÖNK kiadás'!I19+'5.2 sz. m ÁMK'!H46</f>
        <v>27734992</v>
      </c>
      <c r="N21" s="412">
        <f>'4.sz.m.ÖNK kiadás'!J19+'5.2 sz. m ÁMK'!I46</f>
        <v>0</v>
      </c>
      <c r="O21" s="27"/>
    </row>
    <row r="22" spans="1:14" ht="12.75">
      <c r="A22" s="329" t="s">
        <v>171</v>
      </c>
      <c r="B22" s="412">
        <v>8316000</v>
      </c>
      <c r="C22" s="412">
        <v>8316000</v>
      </c>
      <c r="D22" s="412">
        <f>'3.sz.m Önk  bev.'!G53</f>
        <v>4115</v>
      </c>
      <c r="E22" s="412">
        <f>'3.sz.m Önk  bev.'!H52</f>
        <v>10004115</v>
      </c>
      <c r="F22" s="412">
        <f>'3.sz.m Önk  bev.'!I52</f>
        <v>10004115</v>
      </c>
      <c r="G22" s="412">
        <f>'3.sz.m Önk  bev.'!J52+7931</f>
        <v>7931</v>
      </c>
      <c r="H22" s="395" t="s">
        <v>174</v>
      </c>
      <c r="I22" s="412">
        <f>'4.sz.m.ÖNK kiadás'!E20</f>
        <v>5000000</v>
      </c>
      <c r="J22" s="412">
        <f>'4.sz.m.ÖNK kiadás'!F20</f>
        <v>5000000</v>
      </c>
      <c r="K22" s="412">
        <f>'4.sz.m.ÖNK kiadás'!G20</f>
        <v>5000000</v>
      </c>
      <c r="L22" s="412">
        <f>'4.sz.m.ÖNK kiadás'!H20</f>
        <v>51359259</v>
      </c>
      <c r="M22" s="412">
        <f>'4.sz.m.ÖNK kiadás'!I20</f>
        <v>51359259</v>
      </c>
      <c r="N22" s="412">
        <f>'4.sz.m.ÖNK kiadás'!J20</f>
        <v>0</v>
      </c>
    </row>
    <row r="23" spans="1:14" ht="13.5" thickBot="1">
      <c r="A23" s="329"/>
      <c r="B23" s="412"/>
      <c r="C23" s="412"/>
      <c r="D23" s="412"/>
      <c r="E23" s="412"/>
      <c r="F23" s="412"/>
      <c r="G23" s="412"/>
      <c r="H23" s="395" t="s">
        <v>181</v>
      </c>
      <c r="I23" s="412"/>
      <c r="J23" s="412"/>
      <c r="K23" s="412"/>
      <c r="L23" s="412"/>
      <c r="M23" s="412"/>
      <c r="N23" s="413"/>
    </row>
    <row r="24" spans="1:14" ht="13.5" hidden="1" thickBot="1">
      <c r="A24" s="338"/>
      <c r="B24" s="414"/>
      <c r="C24" s="414"/>
      <c r="D24" s="414"/>
      <c r="E24" s="414"/>
      <c r="F24" s="414"/>
      <c r="G24" s="414"/>
      <c r="H24" s="397"/>
      <c r="I24" s="414"/>
      <c r="J24" s="414"/>
      <c r="K24" s="414"/>
      <c r="L24" s="414"/>
      <c r="M24" s="414"/>
      <c r="N24" s="415"/>
    </row>
    <row r="25" spans="1:14" ht="13.5" thickBot="1">
      <c r="A25" s="339" t="s">
        <v>185</v>
      </c>
      <c r="B25" s="423">
        <f aca="true" t="shared" si="6" ref="B25:G25">SUM(B20:B23)</f>
        <v>14316000</v>
      </c>
      <c r="C25" s="423">
        <f t="shared" si="6"/>
        <v>14316000</v>
      </c>
      <c r="D25" s="423">
        <f>SUM(D20:D23)</f>
        <v>6304115</v>
      </c>
      <c r="E25" s="423">
        <f t="shared" si="6"/>
        <v>22142149</v>
      </c>
      <c r="F25" s="423">
        <f>SUM(F20:F23)</f>
        <v>22168149</v>
      </c>
      <c r="G25" s="423">
        <f t="shared" si="6"/>
        <v>7931</v>
      </c>
      <c r="H25" s="402" t="s">
        <v>184</v>
      </c>
      <c r="I25" s="434">
        <f aca="true" t="shared" si="7" ref="I25:N25">SUM(I20:I24)</f>
        <v>36406000</v>
      </c>
      <c r="J25" s="434">
        <f t="shared" si="7"/>
        <v>36406000</v>
      </c>
      <c r="K25" s="434">
        <f>SUM(K20:K24)</f>
        <v>35086401</v>
      </c>
      <c r="L25" s="434">
        <f>SUM(L20:L24)</f>
        <v>86398233</v>
      </c>
      <c r="M25" s="434">
        <f>SUM(M20:M24)</f>
        <v>87096421</v>
      </c>
      <c r="N25" s="435">
        <f t="shared" si="7"/>
        <v>0</v>
      </c>
    </row>
    <row r="26" spans="1:14" ht="15" customHeight="1">
      <c r="A26" s="333" t="s">
        <v>542</v>
      </c>
      <c r="B26" s="426">
        <v>10090000</v>
      </c>
      <c r="C26" s="426">
        <v>10090000</v>
      </c>
      <c r="D26" s="426">
        <f>10090000+8316000+2061005</f>
        <v>20467005</v>
      </c>
      <c r="E26" s="426">
        <f>10090000+8316000+2061005+36229733</f>
        <v>56696738</v>
      </c>
      <c r="F26" s="426">
        <f>10090000+8316000+2061005+36229733+672188</f>
        <v>57368926</v>
      </c>
      <c r="G26" s="426"/>
      <c r="H26" s="403" t="s">
        <v>186</v>
      </c>
      <c r="I26" s="410"/>
      <c r="J26" s="410"/>
      <c r="K26" s="410"/>
      <c r="L26" s="410">
        <f>'4.sz.m.ÖNK kiadás'!H33</f>
        <v>755935</v>
      </c>
      <c r="M26" s="410">
        <f>'4.sz.m.ÖNK kiadás'!I33</f>
        <v>755935</v>
      </c>
      <c r="N26" s="411"/>
    </row>
    <row r="27" spans="1:14" ht="13.5" thickBot="1">
      <c r="A27" s="334" t="s">
        <v>167</v>
      </c>
      <c r="B27" s="427">
        <f>'3.sz.m Önk  bev.'!E57</f>
        <v>12000000</v>
      </c>
      <c r="C27" s="427">
        <f>'3.sz.m Önk  bev.'!F57</f>
        <v>12000000</v>
      </c>
      <c r="D27" s="427">
        <f>'3.sz.m Önk  bev.'!G57</f>
        <v>8315281</v>
      </c>
      <c r="E27" s="427">
        <f>'3.sz.m Önk  bev.'!H57</f>
        <v>8315281</v>
      </c>
      <c r="F27" s="427">
        <f>'3.sz.m Önk  bev.'!I57</f>
        <v>8315281</v>
      </c>
      <c r="G27" s="427">
        <f>'3.sz.m Önk  bev.'!J57</f>
        <v>0</v>
      </c>
      <c r="H27" s="404"/>
      <c r="I27" s="414"/>
      <c r="J27" s="414"/>
      <c r="K27" s="414"/>
      <c r="L27" s="414"/>
      <c r="M27" s="414"/>
      <c r="N27" s="415"/>
    </row>
    <row r="28" spans="1:14" ht="25.5" customHeight="1" thickBot="1">
      <c r="A28" s="340" t="s">
        <v>188</v>
      </c>
      <c r="B28" s="421">
        <f aca="true" t="shared" si="8" ref="B28:G28">SUM(B26:B27)</f>
        <v>22090000</v>
      </c>
      <c r="C28" s="421">
        <f t="shared" si="8"/>
        <v>22090000</v>
      </c>
      <c r="D28" s="421">
        <f>SUM(D26:D27)</f>
        <v>28782286</v>
      </c>
      <c r="E28" s="421">
        <f t="shared" si="8"/>
        <v>65012019</v>
      </c>
      <c r="F28" s="421">
        <f>SUM(F26:F27)</f>
        <v>65684207</v>
      </c>
      <c r="G28" s="421">
        <f t="shared" si="8"/>
        <v>0</v>
      </c>
      <c r="H28" s="402" t="s">
        <v>189</v>
      </c>
      <c r="I28" s="423">
        <f aca="true" t="shared" si="9" ref="I28:N28">SUM(I26:I27)</f>
        <v>0</v>
      </c>
      <c r="J28" s="423">
        <f t="shared" si="9"/>
        <v>0</v>
      </c>
      <c r="K28" s="423">
        <f>SUM(K26:K27)</f>
        <v>0</v>
      </c>
      <c r="L28" s="423">
        <f>SUM(L26:L27)</f>
        <v>755935</v>
      </c>
      <c r="M28" s="423">
        <f>SUM(M26:M27)</f>
        <v>755935</v>
      </c>
      <c r="N28" s="424">
        <f t="shared" si="9"/>
        <v>0</v>
      </c>
    </row>
    <row r="29" spans="1:15" ht="26.25" customHeight="1" thickBot="1">
      <c r="A29" s="337" t="s">
        <v>190</v>
      </c>
      <c r="B29" s="423">
        <f aca="true" t="shared" si="10" ref="B29:G29">B25+B28</f>
        <v>36406000</v>
      </c>
      <c r="C29" s="423">
        <f t="shared" si="10"/>
        <v>36406000</v>
      </c>
      <c r="D29" s="423">
        <f>D25+D28</f>
        <v>35086401</v>
      </c>
      <c r="E29" s="423">
        <f t="shared" si="10"/>
        <v>87154168</v>
      </c>
      <c r="F29" s="423">
        <f>F25+F28</f>
        <v>87852356</v>
      </c>
      <c r="G29" s="423">
        <f t="shared" si="10"/>
        <v>7931</v>
      </c>
      <c r="H29" s="405" t="s">
        <v>191</v>
      </c>
      <c r="I29" s="423">
        <f aca="true" t="shared" si="11" ref="I29:N29">I28+I25</f>
        <v>36406000</v>
      </c>
      <c r="J29" s="423">
        <f t="shared" si="11"/>
        <v>36406000</v>
      </c>
      <c r="K29" s="423">
        <f>K28+K25</f>
        <v>35086401</v>
      </c>
      <c r="L29" s="423">
        <f>L28+L25</f>
        <v>87154168</v>
      </c>
      <c r="M29" s="423">
        <f>M28+M25</f>
        <v>87852356</v>
      </c>
      <c r="N29" s="424">
        <f t="shared" si="11"/>
        <v>0</v>
      </c>
      <c r="O29" s="27"/>
    </row>
    <row r="30" spans="1:14" ht="26.25" customHeight="1" hidden="1" thickBot="1">
      <c r="A30" s="337" t="s">
        <v>243</v>
      </c>
      <c r="B30" s="428"/>
      <c r="C30" s="428"/>
      <c r="D30" s="428"/>
      <c r="E30" s="428"/>
      <c r="F30" s="428"/>
      <c r="G30" s="428"/>
      <c r="H30" s="405" t="s">
        <v>242</v>
      </c>
      <c r="I30" s="423"/>
      <c r="J30" s="423"/>
      <c r="K30" s="423"/>
      <c r="L30" s="423"/>
      <c r="M30" s="423"/>
      <c r="N30" s="424"/>
    </row>
    <row r="31" spans="1:14" ht="29.25" customHeight="1" thickBot="1">
      <c r="A31" s="341" t="s">
        <v>192</v>
      </c>
      <c r="B31" s="429">
        <f aca="true" t="shared" si="12" ref="B31:G31">B18+B29</f>
        <v>617078079</v>
      </c>
      <c r="C31" s="429">
        <f t="shared" si="12"/>
        <v>617078079</v>
      </c>
      <c r="D31" s="429">
        <f>D18+D29</f>
        <v>617137579</v>
      </c>
      <c r="E31" s="429">
        <f t="shared" si="12"/>
        <v>634009960</v>
      </c>
      <c r="F31" s="429">
        <f>F18+F29</f>
        <v>635965826</v>
      </c>
      <c r="G31" s="429">
        <f t="shared" si="12"/>
        <v>0</v>
      </c>
      <c r="H31" s="406" t="s">
        <v>193</v>
      </c>
      <c r="I31" s="436">
        <f aca="true" t="shared" si="13" ref="I31:N31">I29+I18</f>
        <v>617078079</v>
      </c>
      <c r="J31" s="436">
        <f t="shared" si="13"/>
        <v>617078079</v>
      </c>
      <c r="K31" s="436">
        <f>K29+K18</f>
        <v>617137579</v>
      </c>
      <c r="L31" s="436">
        <f>L29+L18</f>
        <v>634009960</v>
      </c>
      <c r="M31" s="436">
        <f>M29+M18</f>
        <v>635965826</v>
      </c>
      <c r="N31" s="437">
        <f t="shared" si="13"/>
        <v>0</v>
      </c>
    </row>
    <row r="33" spans="2:9" ht="12.75">
      <c r="B33" s="27"/>
      <c r="C33" s="27"/>
      <c r="D33" s="27"/>
      <c r="E33" s="27"/>
      <c r="F33" s="27"/>
      <c r="G33" s="27"/>
      <c r="I33" s="27"/>
    </row>
    <row r="34" spans="5:13" ht="12.75">
      <c r="E34" s="27"/>
      <c r="F34" s="27"/>
      <c r="L34" s="27"/>
      <c r="M34" s="27"/>
    </row>
    <row r="35" ht="12.75">
      <c r="H35" s="27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zoomScalePageLayoutView="0" workbookViewId="0" topLeftCell="I34">
      <selection activeCell="N55" sqref="N55"/>
    </sheetView>
  </sheetViews>
  <sheetFormatPr defaultColWidth="9.140625" defaultRowHeight="12.75"/>
  <cols>
    <col min="1" max="2" width="5.7109375" style="95" customWidth="1"/>
    <col min="3" max="3" width="8.8515625" style="95" customWidth="1"/>
    <col min="4" max="4" width="56.00390625" style="20" bestFit="1" customWidth="1"/>
    <col min="5" max="5" width="22.57421875" style="319" customWidth="1"/>
    <col min="6" max="6" width="19.00390625" style="319" customWidth="1"/>
    <col min="7" max="7" width="17.421875" style="319" customWidth="1"/>
    <col min="8" max="8" width="15.57421875" style="319" customWidth="1"/>
    <col min="9" max="9" width="16.00390625" style="319" customWidth="1"/>
    <col min="10" max="10" width="13.7109375" style="319" hidden="1" customWidth="1"/>
    <col min="11" max="11" width="13.140625" style="319" hidden="1" customWidth="1"/>
    <col min="12" max="12" width="22.7109375" style="320" customWidth="1"/>
    <col min="13" max="13" width="16.421875" style="320" customWidth="1"/>
    <col min="14" max="16" width="19.28125" style="320" customWidth="1"/>
    <col min="17" max="18" width="19.28125" style="320" hidden="1" customWidth="1"/>
    <col min="19" max="19" width="19.28125" style="321" customWidth="1"/>
    <col min="20" max="22" width="19.28125" style="320" customWidth="1"/>
    <col min="23" max="23" width="19.28125" style="321" customWidth="1"/>
    <col min="24" max="25" width="19.28125" style="321" hidden="1" customWidth="1"/>
    <col min="26" max="26" width="19.28125" style="321" customWidth="1"/>
    <col min="27" max="16384" width="9.140625" style="321" customWidth="1"/>
  </cols>
  <sheetData>
    <row r="1" spans="1:19" ht="12.75">
      <c r="A1" s="92"/>
      <c r="B1" s="92"/>
      <c r="C1" s="92"/>
      <c r="D1" s="93"/>
      <c r="S1" s="53" t="s">
        <v>56</v>
      </c>
    </row>
    <row r="2" spans="1:22" s="323" customFormat="1" ht="34.5" customHeight="1">
      <c r="A2" s="1044" t="s">
        <v>510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243"/>
      <c r="U2" s="322"/>
      <c r="V2" s="322"/>
    </row>
    <row r="3" spans="1:19" ht="13.5" thickBot="1">
      <c r="A3" s="94"/>
      <c r="B3" s="94"/>
      <c r="C3" s="94"/>
      <c r="D3" s="90"/>
      <c r="L3" s="76"/>
      <c r="M3" s="76"/>
      <c r="N3" s="76"/>
      <c r="O3" s="76"/>
      <c r="P3" s="76"/>
      <c r="Q3" s="76"/>
      <c r="R3" s="76"/>
      <c r="S3" s="38" t="s">
        <v>511</v>
      </c>
    </row>
    <row r="4" spans="1:25" ht="45.75" customHeight="1" thickBot="1">
      <c r="A4" s="1045" t="s">
        <v>6</v>
      </c>
      <c r="B4" s="1046"/>
      <c r="C4" s="1046"/>
      <c r="D4" s="324" t="s">
        <v>9</v>
      </c>
      <c r="E4" s="1041" t="s">
        <v>5</v>
      </c>
      <c r="F4" s="1042"/>
      <c r="G4" s="1042"/>
      <c r="H4" s="1042"/>
      <c r="I4" s="1042"/>
      <c r="J4" s="1042"/>
      <c r="K4" s="1043"/>
      <c r="L4" s="1041" t="s">
        <v>63</v>
      </c>
      <c r="M4" s="1042"/>
      <c r="N4" s="1042"/>
      <c r="O4" s="1042"/>
      <c r="P4" s="1042"/>
      <c r="Q4" s="1042"/>
      <c r="R4" s="1043"/>
      <c r="S4" s="1041" t="s">
        <v>64</v>
      </c>
      <c r="T4" s="1042"/>
      <c r="U4" s="1042"/>
      <c r="V4" s="1042"/>
      <c r="W4" s="1042"/>
      <c r="X4" s="1042"/>
      <c r="Y4" s="1043"/>
    </row>
    <row r="5" spans="1:25" ht="45.75" customHeight="1" thickBot="1">
      <c r="A5" s="302"/>
      <c r="B5" s="303"/>
      <c r="C5" s="303"/>
      <c r="D5" s="324"/>
      <c r="E5" s="358" t="s">
        <v>67</v>
      </c>
      <c r="F5" s="359" t="s">
        <v>230</v>
      </c>
      <c r="G5" s="359" t="s">
        <v>235</v>
      </c>
      <c r="H5" s="359" t="s">
        <v>238</v>
      </c>
      <c r="I5" s="359" t="s">
        <v>494</v>
      </c>
      <c r="J5" s="359" t="s">
        <v>497</v>
      </c>
      <c r="K5" s="360" t="s">
        <v>490</v>
      </c>
      <c r="L5" s="358" t="s">
        <v>67</v>
      </c>
      <c r="M5" s="359" t="s">
        <v>230</v>
      </c>
      <c r="N5" s="359" t="s">
        <v>235</v>
      </c>
      <c r="O5" s="359" t="s">
        <v>238</v>
      </c>
      <c r="P5" s="359" t="s">
        <v>494</v>
      </c>
      <c r="Q5" s="359" t="s">
        <v>499</v>
      </c>
      <c r="R5" s="360" t="s">
        <v>490</v>
      </c>
      <c r="S5" s="358" t="s">
        <v>67</v>
      </c>
      <c r="T5" s="359" t="s">
        <v>230</v>
      </c>
      <c r="U5" s="359" t="s">
        <v>235</v>
      </c>
      <c r="V5" s="359" t="s">
        <v>238</v>
      </c>
      <c r="W5" s="359" t="s">
        <v>494</v>
      </c>
      <c r="X5" s="359" t="s">
        <v>499</v>
      </c>
      <c r="Y5" s="360" t="s">
        <v>490</v>
      </c>
    </row>
    <row r="6" spans="1:25" s="7" customFormat="1" ht="21.75" customHeight="1" thickBot="1">
      <c r="A6" s="105"/>
      <c r="B6" s="1024"/>
      <c r="C6" s="1024"/>
      <c r="D6" s="1024"/>
      <c r="E6" s="361"/>
      <c r="F6" s="283"/>
      <c r="G6" s="283"/>
      <c r="H6" s="283"/>
      <c r="I6" s="283"/>
      <c r="J6" s="283"/>
      <c r="K6" s="753"/>
      <c r="L6" s="361"/>
      <c r="M6" s="283"/>
      <c r="N6" s="283"/>
      <c r="O6" s="283"/>
      <c r="P6" s="283"/>
      <c r="Q6" s="283"/>
      <c r="R6" s="753"/>
      <c r="S6" s="361"/>
      <c r="T6" s="283"/>
      <c r="U6" s="283"/>
      <c r="V6" s="283"/>
      <c r="W6" s="283"/>
      <c r="X6" s="283"/>
      <c r="Y6" s="753"/>
    </row>
    <row r="7" spans="1:25" s="7" customFormat="1" ht="21.75" customHeight="1" thickBot="1">
      <c r="A7" s="105" t="s">
        <v>29</v>
      </c>
      <c r="B7" s="1024" t="s">
        <v>290</v>
      </c>
      <c r="C7" s="1024"/>
      <c r="D7" s="1024"/>
      <c r="E7" s="361">
        <f aca="true" t="shared" si="0" ref="E7:J7">E8+E13+E16+E17+E20</f>
        <v>131360000</v>
      </c>
      <c r="F7" s="283">
        <f t="shared" si="0"/>
        <v>131360000</v>
      </c>
      <c r="G7" s="283">
        <f t="shared" si="0"/>
        <v>132164653</v>
      </c>
      <c r="H7" s="283">
        <f t="shared" si="0"/>
        <v>132326841</v>
      </c>
      <c r="I7" s="283">
        <f t="shared" si="0"/>
        <v>134376203</v>
      </c>
      <c r="J7" s="283">
        <f t="shared" si="0"/>
        <v>0</v>
      </c>
      <c r="K7" s="754">
        <f>J7/I7</f>
        <v>0</v>
      </c>
      <c r="L7" s="361">
        <f>L8+L13+L16+L17+L20</f>
        <v>110712207</v>
      </c>
      <c r="M7" s="283">
        <f>M8+M13+M16+M17+M20</f>
        <v>110712207</v>
      </c>
      <c r="N7" s="283">
        <f>N8+N13+N16+N17+N20</f>
        <v>111506860</v>
      </c>
      <c r="O7" s="283">
        <f>O8+O13+O16+O17+O20</f>
        <v>111439048</v>
      </c>
      <c r="P7" s="283">
        <f>P8+P13+P16+P17+P20</f>
        <v>113488410</v>
      </c>
      <c r="Q7" s="283">
        <f>Q8+Q13+Q16+Q17+Q20</f>
        <v>0</v>
      </c>
      <c r="R7" s="754">
        <f>Q7/P7</f>
        <v>0</v>
      </c>
      <c r="S7" s="361">
        <f aca="true" t="shared" si="1" ref="S7:X7">S8+S13+S16</f>
        <v>20647793</v>
      </c>
      <c r="T7" s="283">
        <f>T8+T13+T16</f>
        <v>20647793</v>
      </c>
      <c r="U7" s="283">
        <f t="shared" si="1"/>
        <v>20657793</v>
      </c>
      <c r="V7" s="283">
        <f>V8+V13+V16</f>
        <v>20887793</v>
      </c>
      <c r="W7" s="283">
        <f>W8+W13+W16</f>
        <v>20887793</v>
      </c>
      <c r="X7" s="283">
        <f t="shared" si="1"/>
        <v>0</v>
      </c>
      <c r="Y7" s="754">
        <f>W7/V7</f>
        <v>1</v>
      </c>
    </row>
    <row r="8" spans="1:25" ht="21.75" customHeight="1">
      <c r="A8" s="616"/>
      <c r="B8" s="245" t="s">
        <v>37</v>
      </c>
      <c r="C8" s="1040" t="s">
        <v>291</v>
      </c>
      <c r="D8" s="1040"/>
      <c r="E8" s="446">
        <f aca="true" t="shared" si="2" ref="E8:J8">SUM(E9:E12)</f>
        <v>18000000</v>
      </c>
      <c r="F8" s="447">
        <f t="shared" si="2"/>
        <v>18000000</v>
      </c>
      <c r="G8" s="447">
        <f t="shared" si="2"/>
        <v>18000000</v>
      </c>
      <c r="H8" s="447">
        <f t="shared" si="2"/>
        <v>18000000</v>
      </c>
      <c r="I8" s="447">
        <f t="shared" si="2"/>
        <v>18601694</v>
      </c>
      <c r="J8" s="447">
        <f t="shared" si="2"/>
        <v>0</v>
      </c>
      <c r="K8" s="755">
        <f>J8/I8</f>
        <v>0</v>
      </c>
      <c r="L8" s="446">
        <f>SUM(L9:L12)</f>
        <v>18000000</v>
      </c>
      <c r="M8" s="447">
        <f>SUM(M9:M12)</f>
        <v>18000000</v>
      </c>
      <c r="N8" s="447">
        <f>SUM(N9:N12)</f>
        <v>18000000</v>
      </c>
      <c r="O8" s="447">
        <f>SUM(O9:O12)</f>
        <v>18000000</v>
      </c>
      <c r="P8" s="447">
        <f>SUM(P9:P12)</f>
        <v>18601694</v>
      </c>
      <c r="Q8" s="447">
        <f>SUM(Q9:Q12)</f>
        <v>0</v>
      </c>
      <c r="R8" s="755">
        <f>Q8/P8</f>
        <v>0</v>
      </c>
      <c r="S8" s="446">
        <v>0</v>
      </c>
      <c r="T8" s="447">
        <v>0</v>
      </c>
      <c r="U8" s="447"/>
      <c r="V8" s="447"/>
      <c r="W8" s="447"/>
      <c r="X8" s="447"/>
      <c r="Y8" s="755"/>
    </row>
    <row r="9" spans="1:25" ht="21.75" customHeight="1">
      <c r="A9" s="102"/>
      <c r="B9" s="98"/>
      <c r="C9" s="98" t="s">
        <v>296</v>
      </c>
      <c r="D9" s="325" t="s">
        <v>292</v>
      </c>
      <c r="E9" s="363">
        <v>0</v>
      </c>
      <c r="F9" s="285">
        <v>0</v>
      </c>
      <c r="G9" s="285">
        <v>0</v>
      </c>
      <c r="H9" s="285">
        <v>0</v>
      </c>
      <c r="I9" s="285">
        <v>0</v>
      </c>
      <c r="J9" s="285"/>
      <c r="K9" s="756"/>
      <c r="L9" s="363">
        <v>0</v>
      </c>
      <c r="M9" s="285">
        <v>0</v>
      </c>
      <c r="N9" s="285">
        <v>0</v>
      </c>
      <c r="O9" s="285">
        <v>0</v>
      </c>
      <c r="P9" s="285">
        <v>0</v>
      </c>
      <c r="Q9" s="285"/>
      <c r="R9" s="756"/>
      <c r="S9" s="363">
        <v>0</v>
      </c>
      <c r="T9" s="285">
        <v>0</v>
      </c>
      <c r="U9" s="285"/>
      <c r="V9" s="285"/>
      <c r="W9" s="285"/>
      <c r="X9" s="285"/>
      <c r="Y9" s="756"/>
    </row>
    <row r="10" spans="1:25" ht="21.75" customHeight="1">
      <c r="A10" s="102"/>
      <c r="B10" s="98"/>
      <c r="C10" s="98" t="s">
        <v>297</v>
      </c>
      <c r="D10" s="325" t="s">
        <v>276</v>
      </c>
      <c r="E10" s="363">
        <v>0</v>
      </c>
      <c r="F10" s="285">
        <v>0</v>
      </c>
      <c r="G10" s="285">
        <v>0</v>
      </c>
      <c r="H10" s="285">
        <v>0</v>
      </c>
      <c r="I10" s="285">
        <v>0</v>
      </c>
      <c r="J10" s="285"/>
      <c r="K10" s="756"/>
      <c r="L10" s="363">
        <v>0</v>
      </c>
      <c r="M10" s="285">
        <v>0</v>
      </c>
      <c r="N10" s="285">
        <v>0</v>
      </c>
      <c r="O10" s="285">
        <v>0</v>
      </c>
      <c r="P10" s="285">
        <v>0</v>
      </c>
      <c r="Q10" s="285"/>
      <c r="R10" s="756"/>
      <c r="S10" s="363">
        <v>0</v>
      </c>
      <c r="T10" s="285">
        <v>0</v>
      </c>
      <c r="U10" s="285"/>
      <c r="V10" s="285"/>
      <c r="W10" s="285"/>
      <c r="X10" s="285"/>
      <c r="Y10" s="756"/>
    </row>
    <row r="11" spans="1:25" ht="21.75" customHeight="1">
      <c r="A11" s="102"/>
      <c r="B11" s="98"/>
      <c r="C11" s="98" t="s">
        <v>298</v>
      </c>
      <c r="D11" s="325" t="s">
        <v>275</v>
      </c>
      <c r="E11" s="363">
        <v>18000000</v>
      </c>
      <c r="F11" s="285">
        <v>18000000</v>
      </c>
      <c r="G11" s="285">
        <v>18000000</v>
      </c>
      <c r="H11" s="285">
        <v>18000000</v>
      </c>
      <c r="I11" s="285">
        <f>18000000+601694</f>
        <v>18601694</v>
      </c>
      <c r="J11" s="285"/>
      <c r="K11" s="756"/>
      <c r="L11" s="363">
        <v>18000000</v>
      </c>
      <c r="M11" s="285">
        <v>18000000</v>
      </c>
      <c r="N11" s="285">
        <v>18000000</v>
      </c>
      <c r="O11" s="290">
        <f>H11</f>
        <v>18000000</v>
      </c>
      <c r="P11" s="290">
        <f>I11</f>
        <v>18601694</v>
      </c>
      <c r="Q11" s="286"/>
      <c r="R11" s="756">
        <f>Q11/P11</f>
        <v>0</v>
      </c>
      <c r="S11" s="363">
        <v>0</v>
      </c>
      <c r="T11" s="285">
        <v>0</v>
      </c>
      <c r="U11" s="285"/>
      <c r="V11" s="285"/>
      <c r="W11" s="285"/>
      <c r="X11" s="285"/>
      <c r="Y11" s="756"/>
    </row>
    <row r="12" spans="1:35" ht="21.75" customHeight="1" hidden="1">
      <c r="A12" s="102"/>
      <c r="B12" s="98"/>
      <c r="C12" s="98"/>
      <c r="D12" s="325"/>
      <c r="E12" s="363"/>
      <c r="F12" s="285"/>
      <c r="G12" s="285"/>
      <c r="H12" s="285"/>
      <c r="I12" s="285"/>
      <c r="J12" s="285"/>
      <c r="K12" s="756" t="e">
        <f>J12/I12</f>
        <v>#DIV/0!</v>
      </c>
      <c r="L12" s="363"/>
      <c r="M12" s="285"/>
      <c r="N12" s="285"/>
      <c r="O12" s="285"/>
      <c r="P12" s="285"/>
      <c r="Q12" s="285"/>
      <c r="R12" s="756" t="e">
        <f>Q12/P12</f>
        <v>#DIV/0!</v>
      </c>
      <c r="S12" s="363"/>
      <c r="T12" s="285"/>
      <c r="U12" s="285"/>
      <c r="V12" s="285"/>
      <c r="W12" s="285"/>
      <c r="X12" s="285"/>
      <c r="Y12" s="756" t="e">
        <f>W12/V12</f>
        <v>#DIV/0!</v>
      </c>
      <c r="AI12" s="321" t="s">
        <v>249</v>
      </c>
    </row>
    <row r="13" spans="1:25" ht="21.75" customHeight="1">
      <c r="A13" s="102"/>
      <c r="B13" s="98" t="s">
        <v>38</v>
      </c>
      <c r="C13" s="1035" t="s">
        <v>293</v>
      </c>
      <c r="D13" s="1035"/>
      <c r="E13" s="363">
        <f aca="true" t="shared" si="3" ref="E13:J13">SUM(E14:E15)</f>
        <v>100000000</v>
      </c>
      <c r="F13" s="285">
        <f t="shared" si="3"/>
        <v>100000000</v>
      </c>
      <c r="G13" s="285">
        <f t="shared" si="3"/>
        <v>100000000</v>
      </c>
      <c r="H13" s="285">
        <f t="shared" si="3"/>
        <v>100000000</v>
      </c>
      <c r="I13" s="285">
        <f t="shared" si="3"/>
        <v>100000000</v>
      </c>
      <c r="J13" s="285">
        <f t="shared" si="3"/>
        <v>0</v>
      </c>
      <c r="K13" s="756">
        <f>J13/I13</f>
        <v>0</v>
      </c>
      <c r="L13" s="363">
        <f>SUM(L14:L15)</f>
        <v>79352207</v>
      </c>
      <c r="M13" s="285">
        <f>SUM(M14:M15)</f>
        <v>79352207</v>
      </c>
      <c r="N13" s="285">
        <f>SUM(N14:N15)</f>
        <v>79342207</v>
      </c>
      <c r="O13" s="285">
        <f>SUM(O14:O15)</f>
        <v>79112207</v>
      </c>
      <c r="P13" s="285">
        <f>SUM(P14:P15)</f>
        <v>79112207</v>
      </c>
      <c r="Q13" s="285">
        <f>SUM(Q14:Q15)</f>
        <v>0</v>
      </c>
      <c r="R13" s="756">
        <f>Q13/P13</f>
        <v>0</v>
      </c>
      <c r="S13" s="363">
        <f aca="true" t="shared" si="4" ref="S13:X13">SUM(S14:S15)</f>
        <v>20647793</v>
      </c>
      <c r="T13" s="285">
        <f>SUM(T14:T15)</f>
        <v>20647793</v>
      </c>
      <c r="U13" s="285">
        <f t="shared" si="4"/>
        <v>20657793</v>
      </c>
      <c r="V13" s="285">
        <f>SUM(V14:V15)</f>
        <v>20887793</v>
      </c>
      <c r="W13" s="285">
        <f>SUM(W14:W15)</f>
        <v>20887793</v>
      </c>
      <c r="X13" s="285">
        <f t="shared" si="4"/>
        <v>0</v>
      </c>
      <c r="Y13" s="756">
        <f>W13/V13</f>
        <v>1</v>
      </c>
    </row>
    <row r="14" spans="1:25" ht="21.75" customHeight="1">
      <c r="A14" s="102"/>
      <c r="B14" s="98"/>
      <c r="C14" s="98" t="s">
        <v>294</v>
      </c>
      <c r="D14" s="559" t="s">
        <v>299</v>
      </c>
      <c r="E14" s="363">
        <v>100000000</v>
      </c>
      <c r="F14" s="285">
        <v>100000000</v>
      </c>
      <c r="G14" s="285">
        <v>100000000</v>
      </c>
      <c r="H14" s="285">
        <v>100000000</v>
      </c>
      <c r="I14" s="285">
        <v>100000000</v>
      </c>
      <c r="J14" s="285"/>
      <c r="K14" s="756"/>
      <c r="L14" s="363">
        <f>E14-S14</f>
        <v>79352207</v>
      </c>
      <c r="M14" s="285">
        <f>F14-T14</f>
        <v>79352207</v>
      </c>
      <c r="N14" s="285">
        <f>100000000-U14</f>
        <v>79342207</v>
      </c>
      <c r="O14" s="285">
        <f>100000000-V14</f>
        <v>79112207</v>
      </c>
      <c r="P14" s="285">
        <f>100000000-W14</f>
        <v>79112207</v>
      </c>
      <c r="Q14" s="285"/>
      <c r="R14" s="756"/>
      <c r="S14" s="363">
        <v>20647793</v>
      </c>
      <c r="T14" s="285">
        <v>20647793</v>
      </c>
      <c r="U14" s="285">
        <v>20657793</v>
      </c>
      <c r="V14" s="285">
        <f>20657793+230000</f>
        <v>20887793</v>
      </c>
      <c r="W14" s="285">
        <f>20657793+230000</f>
        <v>20887793</v>
      </c>
      <c r="X14" s="285"/>
      <c r="Y14" s="756">
        <f>W14/V14</f>
        <v>1</v>
      </c>
    </row>
    <row r="15" spans="1:25" ht="21.75" customHeight="1">
      <c r="A15" s="102"/>
      <c r="B15" s="98"/>
      <c r="C15" s="98" t="s">
        <v>295</v>
      </c>
      <c r="D15" s="559" t="s">
        <v>300</v>
      </c>
      <c r="E15" s="363">
        <v>0</v>
      </c>
      <c r="F15" s="285">
        <v>0</v>
      </c>
      <c r="G15" s="285">
        <v>0</v>
      </c>
      <c r="H15" s="285">
        <v>0</v>
      </c>
      <c r="I15" s="285">
        <v>0</v>
      </c>
      <c r="J15" s="285"/>
      <c r="K15" s="756"/>
      <c r="L15" s="363">
        <v>0</v>
      </c>
      <c r="M15" s="285">
        <v>0</v>
      </c>
      <c r="N15" s="285">
        <v>0</v>
      </c>
      <c r="O15" s="285">
        <v>0</v>
      </c>
      <c r="P15" s="285">
        <v>0</v>
      </c>
      <c r="Q15" s="285"/>
      <c r="R15" s="756"/>
      <c r="S15" s="363">
        <v>0</v>
      </c>
      <c r="T15" s="285">
        <v>0</v>
      </c>
      <c r="U15" s="285"/>
      <c r="V15" s="285"/>
      <c r="W15" s="285"/>
      <c r="X15" s="285"/>
      <c r="Y15" s="756"/>
    </row>
    <row r="16" spans="1:25" ht="21.75" customHeight="1">
      <c r="A16" s="102"/>
      <c r="B16" s="98" t="s">
        <v>114</v>
      </c>
      <c r="C16" s="1035" t="s">
        <v>301</v>
      </c>
      <c r="D16" s="1035"/>
      <c r="E16" s="363">
        <v>12000000</v>
      </c>
      <c r="F16" s="285">
        <v>12000000</v>
      </c>
      <c r="G16" s="285">
        <v>12000000</v>
      </c>
      <c r="H16" s="285">
        <v>12000000</v>
      </c>
      <c r="I16" s="285">
        <f>12000000+150681</f>
        <v>12150681</v>
      </c>
      <c r="J16" s="285"/>
      <c r="K16" s="756"/>
      <c r="L16" s="363">
        <v>12000000</v>
      </c>
      <c r="M16" s="285">
        <v>12000000</v>
      </c>
      <c r="N16" s="285">
        <v>12000000</v>
      </c>
      <c r="O16" s="290">
        <f>H16</f>
        <v>12000000</v>
      </c>
      <c r="P16" s="290">
        <f>I16</f>
        <v>12150681</v>
      </c>
      <c r="Q16" s="286"/>
      <c r="R16" s="756">
        <f>Q16/P16</f>
        <v>0</v>
      </c>
      <c r="S16" s="363">
        <v>0</v>
      </c>
      <c r="T16" s="285">
        <v>0</v>
      </c>
      <c r="U16" s="285"/>
      <c r="V16" s="285"/>
      <c r="W16" s="285"/>
      <c r="X16" s="285"/>
      <c r="Y16" s="756"/>
    </row>
    <row r="17" spans="1:25" ht="21.75" customHeight="1">
      <c r="A17" s="102"/>
      <c r="B17" s="98" t="s">
        <v>50</v>
      </c>
      <c r="C17" s="1036" t="s">
        <v>302</v>
      </c>
      <c r="D17" s="1036"/>
      <c r="E17" s="363">
        <f aca="true" t="shared" si="5" ref="E17:J17">SUM(E18:E19)</f>
        <v>800000</v>
      </c>
      <c r="F17" s="285">
        <f t="shared" si="5"/>
        <v>800000</v>
      </c>
      <c r="G17" s="285">
        <f t="shared" si="5"/>
        <v>1604633</v>
      </c>
      <c r="H17" s="285">
        <f t="shared" si="5"/>
        <v>1766821</v>
      </c>
      <c r="I17" s="285">
        <f t="shared" si="5"/>
        <v>3063808</v>
      </c>
      <c r="J17" s="285">
        <f t="shared" si="5"/>
        <v>0</v>
      </c>
      <c r="K17" s="756">
        <f>J17/I17</f>
        <v>0</v>
      </c>
      <c r="L17" s="363">
        <f>SUM(L18:L19)</f>
        <v>800000</v>
      </c>
      <c r="M17" s="285">
        <f>SUM(M18:M19)</f>
        <v>800000</v>
      </c>
      <c r="N17" s="285">
        <f>SUM(N18:N19)</f>
        <v>1604633</v>
      </c>
      <c r="O17" s="285">
        <f>SUM(O18:O19)</f>
        <v>1766821</v>
      </c>
      <c r="P17" s="285">
        <f>SUM(P18:P19)</f>
        <v>3063808</v>
      </c>
      <c r="Q17" s="285">
        <f>SUM(Q18:Q19)</f>
        <v>0</v>
      </c>
      <c r="R17" s="756">
        <f>Q17/P17</f>
        <v>0</v>
      </c>
      <c r="S17" s="363">
        <v>0</v>
      </c>
      <c r="T17" s="285">
        <v>0</v>
      </c>
      <c r="U17" s="285"/>
      <c r="V17" s="285"/>
      <c r="W17" s="285"/>
      <c r="X17" s="285"/>
      <c r="Y17" s="756"/>
    </row>
    <row r="18" spans="1:25" ht="21.75" customHeight="1">
      <c r="A18" s="102"/>
      <c r="B18" s="98"/>
      <c r="C18" s="98" t="s">
        <v>303</v>
      </c>
      <c r="D18" s="559" t="s">
        <v>305</v>
      </c>
      <c r="E18" s="363">
        <v>0</v>
      </c>
      <c r="F18" s="285">
        <v>0</v>
      </c>
      <c r="G18" s="285">
        <v>0</v>
      </c>
      <c r="H18" s="285">
        <v>0</v>
      </c>
      <c r="I18" s="285">
        <v>0</v>
      </c>
      <c r="J18" s="285"/>
      <c r="K18" s="756"/>
      <c r="L18" s="363">
        <v>0</v>
      </c>
      <c r="M18" s="285">
        <v>0</v>
      </c>
      <c r="N18" s="285">
        <v>0</v>
      </c>
      <c r="O18" s="285">
        <v>0</v>
      </c>
      <c r="P18" s="285">
        <v>0</v>
      </c>
      <c r="Q18" s="285"/>
      <c r="R18" s="756"/>
      <c r="S18" s="363">
        <v>0</v>
      </c>
      <c r="T18" s="285">
        <v>0</v>
      </c>
      <c r="U18" s="285"/>
      <c r="V18" s="285"/>
      <c r="W18" s="285"/>
      <c r="X18" s="285"/>
      <c r="Y18" s="756"/>
    </row>
    <row r="19" spans="1:25" ht="21.75" customHeight="1">
      <c r="A19" s="102"/>
      <c r="B19" s="98"/>
      <c r="C19" s="98" t="s">
        <v>304</v>
      </c>
      <c r="D19" s="559" t="s">
        <v>277</v>
      </c>
      <c r="E19" s="363">
        <v>800000</v>
      </c>
      <c r="F19" s="285">
        <f>800000</f>
        <v>800000</v>
      </c>
      <c r="G19" s="285">
        <f>800000+804633</f>
        <v>1604633</v>
      </c>
      <c r="H19" s="285">
        <f>800000+804633+162188</f>
        <v>1766821</v>
      </c>
      <c r="I19" s="285">
        <f>800000+804633+162188+1296987</f>
        <v>3063808</v>
      </c>
      <c r="J19" s="285"/>
      <c r="K19" s="756"/>
      <c r="L19" s="363">
        <v>800000</v>
      </c>
      <c r="M19" s="285">
        <v>800000</v>
      </c>
      <c r="N19" s="285">
        <f>800000+804633</f>
        <v>1604633</v>
      </c>
      <c r="O19" s="290">
        <f>H19</f>
        <v>1766821</v>
      </c>
      <c r="P19" s="290">
        <f>I19</f>
        <v>3063808</v>
      </c>
      <c r="Q19" s="286"/>
      <c r="R19" s="756">
        <f aca="true" t="shared" si="6" ref="R19:R24">Q19/P19</f>
        <v>0</v>
      </c>
      <c r="S19" s="363">
        <v>0</v>
      </c>
      <c r="T19" s="285">
        <v>0</v>
      </c>
      <c r="U19" s="285"/>
      <c r="V19" s="285"/>
      <c r="W19" s="285"/>
      <c r="X19" s="285"/>
      <c r="Y19" s="756"/>
    </row>
    <row r="20" spans="1:25" ht="21.75" customHeight="1" thickBot="1">
      <c r="A20" s="449"/>
      <c r="B20" s="617" t="s">
        <v>51</v>
      </c>
      <c r="C20" s="1038" t="s">
        <v>306</v>
      </c>
      <c r="D20" s="1038"/>
      <c r="E20" s="448">
        <v>560000</v>
      </c>
      <c r="F20" s="999">
        <v>560000</v>
      </c>
      <c r="G20" s="999">
        <f>560000+20</f>
        <v>560020</v>
      </c>
      <c r="H20" s="999">
        <f>560000+20</f>
        <v>560020</v>
      </c>
      <c r="I20" s="999">
        <f>560000+20</f>
        <v>560020</v>
      </c>
      <c r="J20" s="999"/>
      <c r="K20" s="908"/>
      <c r="L20" s="448">
        <v>560000</v>
      </c>
      <c r="M20" s="999">
        <v>560000</v>
      </c>
      <c r="N20" s="999">
        <f>560000+20</f>
        <v>560020</v>
      </c>
      <c r="O20" s="290">
        <f>H20</f>
        <v>560020</v>
      </c>
      <c r="P20" s="290">
        <f>I20</f>
        <v>560020</v>
      </c>
      <c r="Q20" s="286"/>
      <c r="R20" s="908">
        <f t="shared" si="6"/>
        <v>0</v>
      </c>
      <c r="S20" s="448">
        <v>0</v>
      </c>
      <c r="T20" s="999">
        <v>0</v>
      </c>
      <c r="U20" s="999"/>
      <c r="V20" s="999"/>
      <c r="W20" s="999"/>
      <c r="X20" s="999"/>
      <c r="Y20" s="908"/>
    </row>
    <row r="21" spans="1:26" ht="21.75" customHeight="1" thickBot="1">
      <c r="A21" s="105" t="s">
        <v>307</v>
      </c>
      <c r="B21" s="1024" t="s">
        <v>308</v>
      </c>
      <c r="C21" s="1024"/>
      <c r="D21" s="1024"/>
      <c r="E21" s="361">
        <f aca="true" t="shared" si="7" ref="E21:J21">E22+E23+E24+E28+E29+E30+E31</f>
        <v>17317918</v>
      </c>
      <c r="F21" s="283">
        <f t="shared" si="7"/>
        <v>17317918</v>
      </c>
      <c r="G21" s="283">
        <f t="shared" si="7"/>
        <v>18349833</v>
      </c>
      <c r="H21" s="283">
        <f t="shared" si="7"/>
        <v>19273788</v>
      </c>
      <c r="I21" s="283">
        <f t="shared" si="7"/>
        <v>19953970</v>
      </c>
      <c r="J21" s="283">
        <f t="shared" si="7"/>
        <v>0</v>
      </c>
      <c r="K21" s="754">
        <f>J21/I21</f>
        <v>0</v>
      </c>
      <c r="L21" s="361">
        <f>L22+L23+L24+L28+L29+L30+L31</f>
        <v>17317918</v>
      </c>
      <c r="M21" s="283">
        <f>M22+M23+M24+M28+M29+M30+M31</f>
        <v>17317918</v>
      </c>
      <c r="N21" s="283">
        <f>N22+N23+N24+N28+N29+N30+N31</f>
        <v>18349833</v>
      </c>
      <c r="O21" s="283">
        <f>O22+O23+O24+O28+O29+O30+O31</f>
        <v>19273788</v>
      </c>
      <c r="P21" s="283">
        <f>P22+P23+P24+P28+P29+P30+P31</f>
        <v>19953970</v>
      </c>
      <c r="Q21" s="283">
        <f>Q22+Q23+Q24+Q28+Q29+Q30+Q31</f>
        <v>0</v>
      </c>
      <c r="R21" s="754">
        <f t="shared" si="6"/>
        <v>0</v>
      </c>
      <c r="S21" s="361">
        <f>SUM(S22:S31)</f>
        <v>0</v>
      </c>
      <c r="T21" s="283">
        <f>SUM(T22:T31)</f>
        <v>0</v>
      </c>
      <c r="U21" s="283">
        <f>U22+U23+U24+U28+U29+U30+U31</f>
        <v>0</v>
      </c>
      <c r="V21" s="283">
        <f>V22+V23+V24+V28+V29+V30+V31</f>
        <v>0</v>
      </c>
      <c r="W21" s="283">
        <f>W22+W23+W24+W28+W29+W30+W31</f>
        <v>0</v>
      </c>
      <c r="X21" s="283">
        <f>X22+X23+X24+X28+X29+X30+X31</f>
        <v>0</v>
      </c>
      <c r="Y21" s="754" t="e">
        <f>W21/V21</f>
        <v>#DIV/0!</v>
      </c>
      <c r="Z21" s="320"/>
    </row>
    <row r="22" spans="1:25" ht="21.75" customHeight="1">
      <c r="A22" s="103"/>
      <c r="B22" s="104" t="s">
        <v>40</v>
      </c>
      <c r="C22" s="1032" t="s">
        <v>309</v>
      </c>
      <c r="D22" s="1032"/>
      <c r="E22" s="362">
        <v>170000</v>
      </c>
      <c r="F22" s="284">
        <v>170000</v>
      </c>
      <c r="G22" s="284">
        <f>170000+181500</f>
        <v>351500</v>
      </c>
      <c r="H22" s="284">
        <f>170000+181500+174700</f>
        <v>526200</v>
      </c>
      <c r="I22" s="284">
        <f>170000+181500+174700+53600+30000</f>
        <v>609800</v>
      </c>
      <c r="J22" s="284"/>
      <c r="K22" s="756"/>
      <c r="L22" s="362">
        <v>170000</v>
      </c>
      <c r="M22" s="284">
        <v>170000</v>
      </c>
      <c r="N22" s="284">
        <f>170000+181500</f>
        <v>351500</v>
      </c>
      <c r="O22" s="290">
        <f>H22</f>
        <v>526200</v>
      </c>
      <c r="P22" s="290">
        <f>I22</f>
        <v>609800</v>
      </c>
      <c r="Q22" s="286"/>
      <c r="R22" s="756">
        <f t="shared" si="6"/>
        <v>0</v>
      </c>
      <c r="S22" s="362">
        <v>0</v>
      </c>
      <c r="T22" s="284">
        <v>0</v>
      </c>
      <c r="U22" s="284"/>
      <c r="V22" s="284"/>
      <c r="W22" s="284"/>
      <c r="X22" s="284"/>
      <c r="Y22" s="1010"/>
    </row>
    <row r="23" spans="1:25" ht="21.75" customHeight="1">
      <c r="A23" s="102"/>
      <c r="B23" s="98" t="s">
        <v>41</v>
      </c>
      <c r="C23" s="1020" t="s">
        <v>343</v>
      </c>
      <c r="D23" s="1020"/>
      <c r="E23" s="365">
        <v>5783000</v>
      </c>
      <c r="F23" s="286">
        <v>5783000</v>
      </c>
      <c r="G23" s="286">
        <v>5783000</v>
      </c>
      <c r="H23" s="286">
        <v>5783000</v>
      </c>
      <c r="I23" s="286">
        <v>5783000</v>
      </c>
      <c r="J23" s="286"/>
      <c r="K23" s="756"/>
      <c r="L23" s="365">
        <v>5783000</v>
      </c>
      <c r="M23" s="286">
        <v>5783000</v>
      </c>
      <c r="N23" s="286">
        <v>5783000</v>
      </c>
      <c r="O23" s="290">
        <f>H23</f>
        <v>5783000</v>
      </c>
      <c r="P23" s="290">
        <f>I23</f>
        <v>5783000</v>
      </c>
      <c r="Q23" s="286"/>
      <c r="R23" s="756">
        <f t="shared" si="6"/>
        <v>0</v>
      </c>
      <c r="S23" s="365">
        <v>0</v>
      </c>
      <c r="T23" s="286">
        <v>0</v>
      </c>
      <c r="U23" s="286"/>
      <c r="V23" s="286"/>
      <c r="W23" s="286"/>
      <c r="X23" s="286"/>
      <c r="Y23" s="744"/>
    </row>
    <row r="24" spans="1:25" ht="21.75" customHeight="1">
      <c r="A24" s="102"/>
      <c r="B24" s="98" t="s">
        <v>42</v>
      </c>
      <c r="C24" s="1020" t="s">
        <v>311</v>
      </c>
      <c r="D24" s="1020"/>
      <c r="E24" s="365">
        <f aca="true" t="shared" si="8" ref="E24:J24">SUM(E25:E27)</f>
        <v>9403508</v>
      </c>
      <c r="F24" s="286">
        <f t="shared" si="8"/>
        <v>9403508</v>
      </c>
      <c r="G24" s="286">
        <f t="shared" si="8"/>
        <v>9871016</v>
      </c>
      <c r="H24" s="286">
        <f t="shared" si="8"/>
        <v>10404870</v>
      </c>
      <c r="I24" s="286">
        <f t="shared" si="8"/>
        <v>10404870</v>
      </c>
      <c r="J24" s="286">
        <f t="shared" si="8"/>
        <v>0</v>
      </c>
      <c r="K24" s="756">
        <f>J24/I24</f>
        <v>0</v>
      </c>
      <c r="L24" s="365">
        <f>SUM(L25:L27)</f>
        <v>9403508</v>
      </c>
      <c r="M24" s="286">
        <f>SUM(M25:M27)</f>
        <v>9403508</v>
      </c>
      <c r="N24" s="286">
        <f>SUM(N25:N27)</f>
        <v>9871016</v>
      </c>
      <c r="O24" s="286">
        <f>SUM(O25:O27)</f>
        <v>10404870</v>
      </c>
      <c r="P24" s="286">
        <f>SUM(P25:P27)</f>
        <v>10404870</v>
      </c>
      <c r="Q24" s="286">
        <f>SUM(Q25:Q27)</f>
        <v>0</v>
      </c>
      <c r="R24" s="756">
        <f t="shared" si="6"/>
        <v>0</v>
      </c>
      <c r="S24" s="365">
        <v>0</v>
      </c>
      <c r="T24" s="286">
        <v>0</v>
      </c>
      <c r="U24" s="286"/>
      <c r="V24" s="286"/>
      <c r="W24" s="286"/>
      <c r="X24" s="286"/>
      <c r="Y24" s="744" t="e">
        <f>W24/V24</f>
        <v>#DIV/0!</v>
      </c>
    </row>
    <row r="25" spans="1:25" ht="21.75" customHeight="1">
      <c r="A25" s="102"/>
      <c r="B25" s="98"/>
      <c r="C25" s="98" t="s">
        <v>98</v>
      </c>
      <c r="D25" s="325" t="s">
        <v>312</v>
      </c>
      <c r="E25" s="365">
        <v>9403508</v>
      </c>
      <c r="F25" s="286">
        <v>9403508</v>
      </c>
      <c r="G25" s="286">
        <f>9403508+77150</f>
        <v>9480658</v>
      </c>
      <c r="H25" s="286">
        <f>9403508+77150+533854</f>
        <v>10014512</v>
      </c>
      <c r="I25" s="286">
        <f>9403508+77150+533854</f>
        <v>10014512</v>
      </c>
      <c r="J25" s="286"/>
      <c r="K25" s="756"/>
      <c r="L25" s="365">
        <v>9403508</v>
      </c>
      <c r="M25" s="286">
        <v>9403508</v>
      </c>
      <c r="N25" s="286">
        <f>9403508+77150</f>
        <v>9480658</v>
      </c>
      <c r="O25" s="290">
        <f>H25</f>
        <v>10014512</v>
      </c>
      <c r="P25" s="290">
        <f>I25</f>
        <v>10014512</v>
      </c>
      <c r="Q25" s="286"/>
      <c r="R25" s="756"/>
      <c r="S25" s="365">
        <v>0</v>
      </c>
      <c r="T25" s="286">
        <v>0</v>
      </c>
      <c r="U25" s="286"/>
      <c r="V25" s="286"/>
      <c r="W25" s="286"/>
      <c r="X25" s="286"/>
      <c r="Y25" s="744" t="e">
        <f>W25/V25</f>
        <v>#DIV/0!</v>
      </c>
    </row>
    <row r="26" spans="1:25" ht="41.25" customHeight="1">
      <c r="A26" s="102"/>
      <c r="B26" s="98"/>
      <c r="C26" s="98" t="s">
        <v>99</v>
      </c>
      <c r="D26" s="325" t="s">
        <v>313</v>
      </c>
      <c r="E26" s="365">
        <v>0</v>
      </c>
      <c r="F26" s="286">
        <v>0</v>
      </c>
      <c r="G26" s="286">
        <v>390358</v>
      </c>
      <c r="H26" s="286">
        <v>390358</v>
      </c>
      <c r="I26" s="286">
        <v>390358</v>
      </c>
      <c r="J26" s="286"/>
      <c r="K26" s="756"/>
      <c r="L26" s="365">
        <v>0</v>
      </c>
      <c r="M26" s="286">
        <v>0</v>
      </c>
      <c r="N26" s="286">
        <v>390358</v>
      </c>
      <c r="O26" s="290">
        <f>H26</f>
        <v>390358</v>
      </c>
      <c r="P26" s="290">
        <f>I26</f>
        <v>390358</v>
      </c>
      <c r="Q26" s="286"/>
      <c r="R26" s="756"/>
      <c r="S26" s="365">
        <v>0</v>
      </c>
      <c r="T26" s="286">
        <v>0</v>
      </c>
      <c r="U26" s="286"/>
      <c r="V26" s="286"/>
      <c r="W26" s="286"/>
      <c r="X26" s="286"/>
      <c r="Y26" s="744"/>
    </row>
    <row r="27" spans="1:25" ht="21.75" customHeight="1">
      <c r="A27" s="102"/>
      <c r="B27" s="98"/>
      <c r="C27" s="98" t="s">
        <v>100</v>
      </c>
      <c r="D27" s="325" t="s">
        <v>314</v>
      </c>
      <c r="E27" s="365">
        <v>0</v>
      </c>
      <c r="F27" s="286">
        <v>0</v>
      </c>
      <c r="G27" s="286">
        <v>0</v>
      </c>
      <c r="H27" s="286">
        <v>0</v>
      </c>
      <c r="I27" s="286">
        <v>0</v>
      </c>
      <c r="J27" s="286"/>
      <c r="K27" s="744"/>
      <c r="L27" s="365">
        <v>0</v>
      </c>
      <c r="M27" s="286">
        <v>0</v>
      </c>
      <c r="N27" s="286">
        <v>0</v>
      </c>
      <c r="O27" s="286">
        <v>0</v>
      </c>
      <c r="P27" s="286">
        <v>0</v>
      </c>
      <c r="Q27" s="286"/>
      <c r="R27" s="744"/>
      <c r="S27" s="365">
        <v>0</v>
      </c>
      <c r="T27" s="286">
        <v>0</v>
      </c>
      <c r="U27" s="286"/>
      <c r="V27" s="286"/>
      <c r="W27" s="286"/>
      <c r="X27" s="286"/>
      <c r="Y27" s="744"/>
    </row>
    <row r="28" spans="1:25" ht="21.75" customHeight="1">
      <c r="A28" s="102"/>
      <c r="B28" s="98" t="s">
        <v>278</v>
      </c>
      <c r="C28" s="1020" t="s">
        <v>315</v>
      </c>
      <c r="D28" s="1020"/>
      <c r="E28" s="365">
        <v>1561410</v>
      </c>
      <c r="F28" s="286">
        <v>1561410</v>
      </c>
      <c r="G28" s="286">
        <f>1561410+49005</f>
        <v>1610415</v>
      </c>
      <c r="H28" s="286">
        <f>1561410+49005</f>
        <v>1610415</v>
      </c>
      <c r="I28" s="286">
        <f>1561410+49005+14472+8100</f>
        <v>1632987</v>
      </c>
      <c r="J28" s="286"/>
      <c r="K28" s="756"/>
      <c r="L28" s="365">
        <v>1561410</v>
      </c>
      <c r="M28" s="286">
        <v>1561410</v>
      </c>
      <c r="N28" s="286">
        <f>1561410+49005</f>
        <v>1610415</v>
      </c>
      <c r="O28" s="290">
        <f>H28</f>
        <v>1610415</v>
      </c>
      <c r="P28" s="290">
        <f>I28</f>
        <v>1632987</v>
      </c>
      <c r="Q28" s="286"/>
      <c r="R28" s="756">
        <f>Q28/P28</f>
        <v>0</v>
      </c>
      <c r="S28" s="365">
        <v>0</v>
      </c>
      <c r="T28" s="286">
        <v>0</v>
      </c>
      <c r="U28" s="286"/>
      <c r="V28" s="286"/>
      <c r="W28" s="286"/>
      <c r="X28" s="286"/>
      <c r="Y28" s="744"/>
    </row>
    <row r="29" spans="1:25" ht="21.75" customHeight="1">
      <c r="A29" s="106"/>
      <c r="B29" s="107" t="s">
        <v>316</v>
      </c>
      <c r="C29" s="1020" t="s">
        <v>317</v>
      </c>
      <c r="D29" s="1020"/>
      <c r="E29" s="365">
        <v>0</v>
      </c>
      <c r="F29" s="286">
        <v>0</v>
      </c>
      <c r="G29" s="286">
        <v>0</v>
      </c>
      <c r="H29" s="286">
        <v>0</v>
      </c>
      <c r="I29" s="286">
        <v>0</v>
      </c>
      <c r="J29" s="286"/>
      <c r="K29" s="744"/>
      <c r="L29" s="365">
        <v>0</v>
      </c>
      <c r="M29" s="286">
        <v>0</v>
      </c>
      <c r="N29" s="286">
        <v>0</v>
      </c>
      <c r="O29" s="286">
        <v>0</v>
      </c>
      <c r="P29" s="286">
        <v>0</v>
      </c>
      <c r="Q29" s="286"/>
      <c r="R29" s="744"/>
      <c r="S29" s="365">
        <v>0</v>
      </c>
      <c r="T29" s="286">
        <v>0</v>
      </c>
      <c r="U29" s="286"/>
      <c r="V29" s="286"/>
      <c r="W29" s="286"/>
      <c r="X29" s="286"/>
      <c r="Y29" s="744"/>
    </row>
    <row r="30" spans="1:25" ht="21.75" customHeight="1">
      <c r="A30" s="106"/>
      <c r="B30" s="107" t="s">
        <v>318</v>
      </c>
      <c r="C30" s="1020" t="s">
        <v>319</v>
      </c>
      <c r="D30" s="1020"/>
      <c r="E30" s="365">
        <v>400000</v>
      </c>
      <c r="F30" s="286">
        <v>400000</v>
      </c>
      <c r="G30" s="286">
        <v>400000</v>
      </c>
      <c r="H30" s="286">
        <v>400000</v>
      </c>
      <c r="I30" s="286">
        <v>400000</v>
      </c>
      <c r="J30" s="286"/>
      <c r="K30" s="756"/>
      <c r="L30" s="365">
        <v>400000</v>
      </c>
      <c r="M30" s="286">
        <v>400000</v>
      </c>
      <c r="N30" s="286">
        <v>400000</v>
      </c>
      <c r="O30" s="290">
        <f>H30</f>
        <v>400000</v>
      </c>
      <c r="P30" s="290">
        <f>I30</f>
        <v>400000</v>
      </c>
      <c r="Q30" s="286"/>
      <c r="R30" s="756">
        <f aca="true" t="shared" si="9" ref="R30:R35">Q30/P30</f>
        <v>0</v>
      </c>
      <c r="S30" s="365">
        <v>0</v>
      </c>
      <c r="T30" s="286">
        <v>0</v>
      </c>
      <c r="U30" s="286"/>
      <c r="V30" s="286"/>
      <c r="W30" s="286"/>
      <c r="X30" s="286"/>
      <c r="Y30" s="744"/>
    </row>
    <row r="31" spans="1:25" ht="21.75" customHeight="1" thickBot="1">
      <c r="A31" s="106"/>
      <c r="B31" s="107" t="s">
        <v>71</v>
      </c>
      <c r="C31" s="1025" t="s">
        <v>72</v>
      </c>
      <c r="D31" s="1025"/>
      <c r="E31" s="365">
        <v>0</v>
      </c>
      <c r="F31" s="286">
        <v>0</v>
      </c>
      <c r="G31" s="286">
        <v>333902</v>
      </c>
      <c r="H31" s="286">
        <f>333902+215401</f>
        <v>549303</v>
      </c>
      <c r="I31" s="286">
        <f>333902+215401+574010</f>
        <v>1123313</v>
      </c>
      <c r="J31" s="286"/>
      <c r="K31" s="756"/>
      <c r="L31" s="365">
        <v>0</v>
      </c>
      <c r="M31" s="286">
        <v>0</v>
      </c>
      <c r="N31" s="286">
        <v>333902</v>
      </c>
      <c r="O31" s="290">
        <f>H31</f>
        <v>549303</v>
      </c>
      <c r="P31" s="290">
        <f>I31</f>
        <v>1123313</v>
      </c>
      <c r="Q31" s="286"/>
      <c r="R31" s="756">
        <f t="shared" si="9"/>
        <v>0</v>
      </c>
      <c r="S31" s="365">
        <v>0</v>
      </c>
      <c r="T31" s="286">
        <v>0</v>
      </c>
      <c r="U31" s="286"/>
      <c r="V31" s="286"/>
      <c r="W31" s="286"/>
      <c r="X31" s="286"/>
      <c r="Y31" s="744"/>
    </row>
    <row r="32" spans="1:25" ht="21.75" customHeight="1" thickBot="1">
      <c r="A32" s="109" t="s">
        <v>10</v>
      </c>
      <c r="B32" s="1024" t="s">
        <v>320</v>
      </c>
      <c r="C32" s="1024"/>
      <c r="D32" s="1024"/>
      <c r="E32" s="356">
        <f aca="true" t="shared" si="10" ref="E32:J32">SUM(E33:E37)</f>
        <v>278607033</v>
      </c>
      <c r="F32" s="112">
        <f t="shared" si="10"/>
        <v>278607033</v>
      </c>
      <c r="G32" s="112">
        <f t="shared" si="10"/>
        <v>279487420</v>
      </c>
      <c r="H32" s="112">
        <f t="shared" si="10"/>
        <v>278743471</v>
      </c>
      <c r="I32" s="112">
        <f t="shared" si="10"/>
        <v>276206174</v>
      </c>
      <c r="J32" s="112">
        <f t="shared" si="10"/>
        <v>0</v>
      </c>
      <c r="K32" s="754">
        <f>J32/I32</f>
        <v>0</v>
      </c>
      <c r="L32" s="356">
        <f>SUM(L33:L37)</f>
        <v>278607033</v>
      </c>
      <c r="M32" s="112">
        <f>SUM(M33:M37)</f>
        <v>278607033</v>
      </c>
      <c r="N32" s="112">
        <f>SUM(N33:N37)</f>
        <v>279487420</v>
      </c>
      <c r="O32" s="112">
        <f>SUM(O33:O37)</f>
        <v>278743471</v>
      </c>
      <c r="P32" s="112">
        <f>SUM(P33:P37)</f>
        <v>276206174</v>
      </c>
      <c r="Q32" s="112">
        <f>SUM(Q33:Q37)</f>
        <v>0</v>
      </c>
      <c r="R32" s="754">
        <f t="shared" si="9"/>
        <v>0</v>
      </c>
      <c r="S32" s="356">
        <v>0</v>
      </c>
      <c r="T32" s="112">
        <v>0</v>
      </c>
      <c r="U32" s="112"/>
      <c r="V32" s="112"/>
      <c r="W32" s="112"/>
      <c r="X32" s="112"/>
      <c r="Y32" s="760"/>
    </row>
    <row r="33" spans="1:27" ht="21.75" customHeight="1">
      <c r="A33" s="103"/>
      <c r="B33" s="107" t="s">
        <v>43</v>
      </c>
      <c r="C33" s="1022" t="s">
        <v>321</v>
      </c>
      <c r="D33" s="1022"/>
      <c r="E33" s="632">
        <v>237504190</v>
      </c>
      <c r="F33" s="1000">
        <f>237504190+3088562</f>
        <v>240592752</v>
      </c>
      <c r="G33" s="1000">
        <f>237504190+3088562+4188841+761116</f>
        <v>245542709</v>
      </c>
      <c r="H33" s="1000">
        <f>237504190+3088562+4188841+761116+3791376+133938</f>
        <v>249468023</v>
      </c>
      <c r="I33" s="1000">
        <f>237504190+3088562+4188841+761116+3791376+133938-138981</f>
        <v>249329042</v>
      </c>
      <c r="J33" s="1000"/>
      <c r="K33" s="756"/>
      <c r="L33" s="632">
        <v>237504190</v>
      </c>
      <c r="M33" s="1000">
        <f>F33</f>
        <v>240592752</v>
      </c>
      <c r="N33" s="1000">
        <f>237504190+3088562+4188841</f>
        <v>244781593</v>
      </c>
      <c r="O33" s="290">
        <f>H33</f>
        <v>249468023</v>
      </c>
      <c r="P33" s="290">
        <f>I33</f>
        <v>249329042</v>
      </c>
      <c r="Q33" s="286"/>
      <c r="R33" s="756">
        <f t="shared" si="9"/>
        <v>0</v>
      </c>
      <c r="S33" s="632">
        <v>0</v>
      </c>
      <c r="T33" s="1000">
        <v>0</v>
      </c>
      <c r="U33" s="1000"/>
      <c r="V33" s="1000"/>
      <c r="W33" s="1000"/>
      <c r="X33" s="1000"/>
      <c r="Y33" s="1011"/>
      <c r="AA33" s="320"/>
    </row>
    <row r="34" spans="1:25" ht="21.75" customHeight="1">
      <c r="A34" s="102"/>
      <c r="B34" s="107" t="s">
        <v>44</v>
      </c>
      <c r="C34" s="1020" t="s">
        <v>584</v>
      </c>
      <c r="D34" s="1020"/>
      <c r="E34" s="365">
        <v>0</v>
      </c>
      <c r="F34" s="286">
        <v>0</v>
      </c>
      <c r="G34" s="286">
        <v>3399025</v>
      </c>
      <c r="H34" s="286">
        <f>3399025+1782191</f>
        <v>5181216</v>
      </c>
      <c r="I34" s="286">
        <f>3399025+1782191</f>
        <v>5181216</v>
      </c>
      <c r="J34" s="286"/>
      <c r="K34" s="756"/>
      <c r="L34" s="365">
        <v>0</v>
      </c>
      <c r="M34" s="286">
        <v>0</v>
      </c>
      <c r="N34" s="286">
        <v>3399025</v>
      </c>
      <c r="O34" s="290">
        <f>H34</f>
        <v>5181216</v>
      </c>
      <c r="P34" s="290">
        <f>I34</f>
        <v>5181216</v>
      </c>
      <c r="Q34" s="286"/>
      <c r="R34" s="756">
        <f t="shared" si="9"/>
        <v>0</v>
      </c>
      <c r="S34" s="365">
        <v>0</v>
      </c>
      <c r="T34" s="286">
        <v>0</v>
      </c>
      <c r="U34" s="286"/>
      <c r="V34" s="286"/>
      <c r="W34" s="286"/>
      <c r="X34" s="286"/>
      <c r="Y34" s="744"/>
    </row>
    <row r="35" spans="1:25" ht="21.75" customHeight="1">
      <c r="A35" s="102"/>
      <c r="B35" s="107" t="s">
        <v>69</v>
      </c>
      <c r="C35" s="1020" t="s">
        <v>480</v>
      </c>
      <c r="D35" s="1020"/>
      <c r="E35" s="365">
        <v>0</v>
      </c>
      <c r="F35" s="286">
        <v>0</v>
      </c>
      <c r="G35" s="286">
        <v>0</v>
      </c>
      <c r="H35" s="286">
        <v>0</v>
      </c>
      <c r="I35" s="286">
        <v>0</v>
      </c>
      <c r="J35" s="286"/>
      <c r="K35" s="756"/>
      <c r="L35" s="365">
        <v>0</v>
      </c>
      <c r="M35" s="286">
        <v>0</v>
      </c>
      <c r="N35" s="286">
        <v>0</v>
      </c>
      <c r="O35" s="286">
        <v>0</v>
      </c>
      <c r="P35" s="286">
        <v>0</v>
      </c>
      <c r="Q35" s="286"/>
      <c r="R35" s="756" t="e">
        <f t="shared" si="9"/>
        <v>#DIV/0!</v>
      </c>
      <c r="S35" s="365">
        <v>0</v>
      </c>
      <c r="T35" s="286">
        <v>0</v>
      </c>
      <c r="U35" s="286"/>
      <c r="V35" s="286"/>
      <c r="W35" s="286"/>
      <c r="X35" s="286"/>
      <c r="Y35" s="744"/>
    </row>
    <row r="36" spans="1:25" ht="21.75" customHeight="1">
      <c r="A36" s="102"/>
      <c r="B36" s="107" t="s">
        <v>70</v>
      </c>
      <c r="C36" s="1020" t="s">
        <v>372</v>
      </c>
      <c r="D36" s="1020"/>
      <c r="E36" s="365">
        <v>0</v>
      </c>
      <c r="F36" s="286">
        <v>0</v>
      </c>
      <c r="G36" s="286">
        <v>0</v>
      </c>
      <c r="H36" s="286">
        <v>0</v>
      </c>
      <c r="I36" s="286">
        <v>0</v>
      </c>
      <c r="J36" s="286"/>
      <c r="K36" s="744"/>
      <c r="L36" s="365">
        <v>0</v>
      </c>
      <c r="M36" s="286">
        <v>0</v>
      </c>
      <c r="N36" s="286">
        <v>0</v>
      </c>
      <c r="O36" s="286">
        <v>0</v>
      </c>
      <c r="P36" s="286">
        <v>0</v>
      </c>
      <c r="Q36" s="286"/>
      <c r="R36" s="744"/>
      <c r="S36" s="365">
        <v>0</v>
      </c>
      <c r="T36" s="286">
        <v>0</v>
      </c>
      <c r="U36" s="286"/>
      <c r="V36" s="286"/>
      <c r="W36" s="286"/>
      <c r="X36" s="286"/>
      <c r="Y36" s="744"/>
    </row>
    <row r="37" spans="1:25" ht="21.75" customHeight="1">
      <c r="A37" s="102"/>
      <c r="B37" s="107" t="s">
        <v>368</v>
      </c>
      <c r="C37" s="1020" t="s">
        <v>322</v>
      </c>
      <c r="D37" s="1020"/>
      <c r="E37" s="365">
        <f aca="true" t="shared" si="11" ref="E37:J37">SUM(E38:E40)</f>
        <v>41102843</v>
      </c>
      <c r="F37" s="286">
        <f t="shared" si="11"/>
        <v>38014281</v>
      </c>
      <c r="G37" s="286">
        <f t="shared" si="11"/>
        <v>30545686</v>
      </c>
      <c r="H37" s="286">
        <f t="shared" si="11"/>
        <v>24094232</v>
      </c>
      <c r="I37" s="286">
        <f t="shared" si="11"/>
        <v>21695916</v>
      </c>
      <c r="J37" s="286">
        <f t="shared" si="11"/>
        <v>0</v>
      </c>
      <c r="K37" s="756">
        <f>J37/I37</f>
        <v>0</v>
      </c>
      <c r="L37" s="365">
        <f>SUM(L38:L40)</f>
        <v>41102843</v>
      </c>
      <c r="M37" s="286">
        <f>SUM(M38:M40)</f>
        <v>38014281</v>
      </c>
      <c r="N37" s="286">
        <f>SUM(N38:N40)</f>
        <v>31306802</v>
      </c>
      <c r="O37" s="286">
        <f>SUM(O38:O40)</f>
        <v>24094232</v>
      </c>
      <c r="P37" s="286">
        <f>SUM(P38:P40)</f>
        <v>21695916</v>
      </c>
      <c r="Q37" s="286">
        <f>SUM(Q38:Q40)</f>
        <v>0</v>
      </c>
      <c r="R37" s="756">
        <f>Q37/P37</f>
        <v>0</v>
      </c>
      <c r="S37" s="365">
        <v>0</v>
      </c>
      <c r="T37" s="286">
        <v>0</v>
      </c>
      <c r="U37" s="286"/>
      <c r="V37" s="286"/>
      <c r="W37" s="286"/>
      <c r="X37" s="286"/>
      <c r="Y37" s="744"/>
    </row>
    <row r="38" spans="1:25" ht="21.75" customHeight="1">
      <c r="A38" s="102"/>
      <c r="B38" s="107"/>
      <c r="C38" s="104" t="s">
        <v>369</v>
      </c>
      <c r="D38" s="618" t="s">
        <v>34</v>
      </c>
      <c r="E38" s="365">
        <v>7690835</v>
      </c>
      <c r="F38" s="286">
        <v>7690835</v>
      </c>
      <c r="G38" s="286">
        <v>7690835</v>
      </c>
      <c r="H38" s="286">
        <f>7690835</f>
        <v>7690835</v>
      </c>
      <c r="I38" s="286">
        <f>7690835</f>
        <v>7690835</v>
      </c>
      <c r="J38" s="286"/>
      <c r="K38" s="756"/>
      <c r="L38" s="365">
        <v>7690835</v>
      </c>
      <c r="M38" s="286">
        <v>7690835</v>
      </c>
      <c r="N38" s="286">
        <v>7690835</v>
      </c>
      <c r="O38" s="290">
        <f>H38</f>
        <v>7690835</v>
      </c>
      <c r="P38" s="290">
        <f>I38</f>
        <v>7690835</v>
      </c>
      <c r="Q38" s="286"/>
      <c r="R38" s="756">
        <f>Q38/P38</f>
        <v>0</v>
      </c>
      <c r="S38" s="365">
        <v>0</v>
      </c>
      <c r="T38" s="286">
        <v>0</v>
      </c>
      <c r="U38" s="286"/>
      <c r="V38" s="286"/>
      <c r="W38" s="286"/>
      <c r="X38" s="286"/>
      <c r="Y38" s="744"/>
    </row>
    <row r="39" spans="1:25" ht="21.75" customHeight="1">
      <c r="A39" s="102"/>
      <c r="B39" s="107"/>
      <c r="C39" s="98" t="s">
        <v>370</v>
      </c>
      <c r="D39" s="325" t="s">
        <v>33</v>
      </c>
      <c r="E39" s="365">
        <v>0</v>
      </c>
      <c r="F39" s="286">
        <v>0</v>
      </c>
      <c r="G39" s="286">
        <v>0</v>
      </c>
      <c r="H39" s="286">
        <v>0</v>
      </c>
      <c r="I39" s="286">
        <v>0</v>
      </c>
      <c r="J39" s="286"/>
      <c r="K39" s="744"/>
      <c r="L39" s="365">
        <v>0</v>
      </c>
      <c r="M39" s="286">
        <v>0</v>
      </c>
      <c r="N39" s="286">
        <v>0</v>
      </c>
      <c r="O39" s="286">
        <v>0</v>
      </c>
      <c r="P39" s="286">
        <v>0</v>
      </c>
      <c r="Q39" s="286"/>
      <c r="R39" s="744"/>
      <c r="S39" s="365">
        <v>0</v>
      </c>
      <c r="T39" s="286">
        <v>0</v>
      </c>
      <c r="U39" s="286"/>
      <c r="V39" s="286"/>
      <c r="W39" s="286"/>
      <c r="X39" s="286"/>
      <c r="Y39" s="744"/>
    </row>
    <row r="40" spans="1:25" ht="21.75" customHeight="1" thickBot="1">
      <c r="A40" s="102"/>
      <c r="B40" s="107"/>
      <c r="C40" s="98" t="s">
        <v>371</v>
      </c>
      <c r="D40" s="325" t="s">
        <v>35</v>
      </c>
      <c r="E40" s="560">
        <v>33412008</v>
      </c>
      <c r="F40" s="561">
        <f>33412008-1479698-1608864</f>
        <v>30323446</v>
      </c>
      <c r="G40" s="561">
        <f>33412008-1479698-1608864-7587866+2500+877887-761116</f>
        <v>22854851</v>
      </c>
      <c r="H40" s="561">
        <f>33412008-1479698-1608864-7587866+2500-761116-5573567</f>
        <v>16403397</v>
      </c>
      <c r="I40" s="561">
        <f>33412008-1479698-1608864-7587866+2500-761116-5573567-2398316</f>
        <v>14005081</v>
      </c>
      <c r="J40" s="561"/>
      <c r="K40" s="756"/>
      <c r="L40" s="560">
        <v>33412008</v>
      </c>
      <c r="M40" s="561">
        <f>F40</f>
        <v>30323446</v>
      </c>
      <c r="N40" s="561">
        <f>33412008-1479698-1608864-7587866+2500+877887</f>
        <v>23615967</v>
      </c>
      <c r="O40" s="290">
        <f>H40</f>
        <v>16403397</v>
      </c>
      <c r="P40" s="290">
        <f>I40</f>
        <v>14005081</v>
      </c>
      <c r="Q40" s="286"/>
      <c r="R40" s="756">
        <f>Q40/P40</f>
        <v>0</v>
      </c>
      <c r="S40" s="560">
        <v>0</v>
      </c>
      <c r="T40" s="561">
        <v>0</v>
      </c>
      <c r="U40" s="561"/>
      <c r="V40" s="561"/>
      <c r="W40" s="561"/>
      <c r="X40" s="561"/>
      <c r="Y40" s="745"/>
    </row>
    <row r="41" spans="1:25" ht="21.75" customHeight="1" thickBot="1">
      <c r="A41" s="109" t="s">
        <v>11</v>
      </c>
      <c r="B41" s="1034" t="s">
        <v>323</v>
      </c>
      <c r="C41" s="1034"/>
      <c r="D41" s="1034"/>
      <c r="E41" s="356">
        <f>SUM(E42:E43)</f>
        <v>6000000</v>
      </c>
      <c r="F41" s="112">
        <f>SUM(F42:F43)</f>
        <v>6000000</v>
      </c>
      <c r="G41" s="112">
        <f>SUM(G42:G43)</f>
        <v>6000000</v>
      </c>
      <c r="H41" s="112">
        <f>H42+H43+H47</f>
        <v>7500000</v>
      </c>
      <c r="I41" s="112">
        <f>I42+I43+I47</f>
        <v>7500000</v>
      </c>
      <c r="J41" s="112">
        <f>SUM(J42:J43)</f>
        <v>0</v>
      </c>
      <c r="K41" s="754">
        <f>J41/I41</f>
        <v>0</v>
      </c>
      <c r="L41" s="356">
        <f>SUM(L42:L43)</f>
        <v>6000000</v>
      </c>
      <c r="M41" s="112">
        <f>SUM(M42:M43)</f>
        <v>6000000</v>
      </c>
      <c r="N41" s="112">
        <f>SUM(N42:N43)</f>
        <v>6000000</v>
      </c>
      <c r="O41" s="112">
        <f>O42+O43+O47</f>
        <v>6000000</v>
      </c>
      <c r="P41" s="112">
        <f>P42+P43+P47</f>
        <v>6000000</v>
      </c>
      <c r="Q41" s="112">
        <f>SUM(Q42:Q43)</f>
        <v>0</v>
      </c>
      <c r="R41" s="754">
        <f>Q41/P41</f>
        <v>0</v>
      </c>
      <c r="S41" s="356">
        <f aca="true" t="shared" si="12" ref="S41:X41">SUM(S42:S43)</f>
        <v>0</v>
      </c>
      <c r="T41" s="112">
        <f>SUM(T42:T43)</f>
        <v>0</v>
      </c>
      <c r="U41" s="112">
        <f t="shared" si="12"/>
        <v>0</v>
      </c>
      <c r="V41" s="112">
        <f>V42+V43+V47</f>
        <v>1500000</v>
      </c>
      <c r="W41" s="112">
        <f>W42+W43+W47</f>
        <v>1500000</v>
      </c>
      <c r="X41" s="112">
        <f t="shared" si="12"/>
        <v>0</v>
      </c>
      <c r="Y41" s="760"/>
    </row>
    <row r="42" spans="1:25" ht="21.75" customHeight="1">
      <c r="A42" s="103"/>
      <c r="B42" s="110" t="s">
        <v>324</v>
      </c>
      <c r="C42" s="1032" t="s">
        <v>326</v>
      </c>
      <c r="D42" s="1032"/>
      <c r="E42" s="364">
        <v>0</v>
      </c>
      <c r="F42" s="1001">
        <v>0</v>
      </c>
      <c r="G42" s="1001">
        <v>0</v>
      </c>
      <c r="H42" s="1001">
        <v>0</v>
      </c>
      <c r="I42" s="1001">
        <v>0</v>
      </c>
      <c r="J42" s="1001"/>
      <c r="K42" s="764"/>
      <c r="L42" s="364">
        <v>0</v>
      </c>
      <c r="M42" s="1001">
        <v>0</v>
      </c>
      <c r="N42" s="1001">
        <v>0</v>
      </c>
      <c r="O42" s="1001">
        <v>0</v>
      </c>
      <c r="P42" s="1001">
        <v>0</v>
      </c>
      <c r="Q42" s="1001"/>
      <c r="R42" s="764"/>
      <c r="S42" s="364">
        <v>0</v>
      </c>
      <c r="T42" s="1001">
        <v>0</v>
      </c>
      <c r="U42" s="1001"/>
      <c r="V42" s="1001"/>
      <c r="W42" s="1001"/>
      <c r="X42" s="1001"/>
      <c r="Y42" s="764"/>
    </row>
    <row r="43" spans="1:25" ht="21.75" customHeight="1">
      <c r="A43" s="102"/>
      <c r="B43" s="99" t="s">
        <v>325</v>
      </c>
      <c r="C43" s="1020" t="s">
        <v>327</v>
      </c>
      <c r="D43" s="1020"/>
      <c r="E43" s="365">
        <f aca="true" t="shared" si="13" ref="E43:J43">SUM(E44:E46)</f>
        <v>6000000</v>
      </c>
      <c r="F43" s="286">
        <f t="shared" si="13"/>
        <v>6000000</v>
      </c>
      <c r="G43" s="286">
        <f t="shared" si="13"/>
        <v>6000000</v>
      </c>
      <c r="H43" s="286">
        <f t="shared" si="13"/>
        <v>6000000</v>
      </c>
      <c r="I43" s="286">
        <f t="shared" si="13"/>
        <v>6000000</v>
      </c>
      <c r="J43" s="286">
        <f t="shared" si="13"/>
        <v>0</v>
      </c>
      <c r="K43" s="756">
        <f>J43/I43</f>
        <v>0</v>
      </c>
      <c r="L43" s="365">
        <f>SUM(L44:L46)</f>
        <v>6000000</v>
      </c>
      <c r="M43" s="286">
        <f>SUM(M44:M46)</f>
        <v>6000000</v>
      </c>
      <c r="N43" s="286">
        <f>SUM(N44:N46)</f>
        <v>6000000</v>
      </c>
      <c r="O43" s="286">
        <f>SUM(O44:O46)</f>
        <v>6000000</v>
      </c>
      <c r="P43" s="286">
        <f>SUM(P44:P46)</f>
        <v>6000000</v>
      </c>
      <c r="Q43" s="286">
        <f>SUM(Q44:Q46)</f>
        <v>0</v>
      </c>
      <c r="R43" s="756">
        <f>Q43/P43</f>
        <v>0</v>
      </c>
      <c r="S43" s="365">
        <f aca="true" t="shared" si="14" ref="S43:X43">SUM(S44:S46)</f>
        <v>0</v>
      </c>
      <c r="T43" s="286">
        <f>SUM(T44:T46)</f>
        <v>0</v>
      </c>
      <c r="U43" s="286">
        <f t="shared" si="14"/>
        <v>0</v>
      </c>
      <c r="V43" s="286">
        <f>SUM(V44:V46)</f>
        <v>0</v>
      </c>
      <c r="W43" s="286">
        <f>SUM(W44:W46)</f>
        <v>0</v>
      </c>
      <c r="X43" s="286">
        <f t="shared" si="14"/>
        <v>0</v>
      </c>
      <c r="Y43" s="744"/>
    </row>
    <row r="44" spans="1:25" ht="21.75" customHeight="1">
      <c r="A44" s="102"/>
      <c r="B44" s="110"/>
      <c r="C44" s="104" t="s">
        <v>328</v>
      </c>
      <c r="D44" s="618" t="s">
        <v>34</v>
      </c>
      <c r="E44" s="365">
        <v>0</v>
      </c>
      <c r="F44" s="286">
        <v>0</v>
      </c>
      <c r="G44" s="286">
        <v>0</v>
      </c>
      <c r="H44" s="286">
        <v>0</v>
      </c>
      <c r="I44" s="286">
        <v>0</v>
      </c>
      <c r="J44" s="286"/>
      <c r="K44" s="744"/>
      <c r="L44" s="365">
        <v>0</v>
      </c>
      <c r="M44" s="286">
        <v>0</v>
      </c>
      <c r="N44" s="286">
        <v>0</v>
      </c>
      <c r="O44" s="286">
        <v>0</v>
      </c>
      <c r="P44" s="286">
        <v>0</v>
      </c>
      <c r="Q44" s="286"/>
      <c r="R44" s="744"/>
      <c r="S44" s="365">
        <v>0</v>
      </c>
      <c r="T44" s="286">
        <v>0</v>
      </c>
      <c r="U44" s="286"/>
      <c r="V44" s="286"/>
      <c r="W44" s="286"/>
      <c r="X44" s="286"/>
      <c r="Y44" s="744"/>
    </row>
    <row r="45" spans="1:25" ht="21.75" customHeight="1">
      <c r="A45" s="102"/>
      <c r="B45" s="99"/>
      <c r="C45" s="98" t="s">
        <v>329</v>
      </c>
      <c r="D45" s="618" t="s">
        <v>33</v>
      </c>
      <c r="E45" s="365">
        <v>0</v>
      </c>
      <c r="F45" s="286">
        <v>0</v>
      </c>
      <c r="G45" s="286">
        <v>0</v>
      </c>
      <c r="H45" s="286">
        <v>0</v>
      </c>
      <c r="I45" s="286">
        <v>0</v>
      </c>
      <c r="J45" s="286"/>
      <c r="K45" s="756"/>
      <c r="L45" s="365">
        <v>0</v>
      </c>
      <c r="M45" s="286">
        <v>0</v>
      </c>
      <c r="N45" s="286">
        <v>0</v>
      </c>
      <c r="O45" s="286">
        <v>0</v>
      </c>
      <c r="P45" s="286">
        <v>0</v>
      </c>
      <c r="Q45" s="286"/>
      <c r="R45" s="756" t="e">
        <f>Q45/P45</f>
        <v>#DIV/0!</v>
      </c>
      <c r="S45" s="365">
        <v>0</v>
      </c>
      <c r="T45" s="286">
        <v>0</v>
      </c>
      <c r="U45" s="286"/>
      <c r="V45" s="286"/>
      <c r="W45" s="286"/>
      <c r="X45" s="286"/>
      <c r="Y45" s="744"/>
    </row>
    <row r="46" spans="1:25" ht="21.75" customHeight="1">
      <c r="A46" s="106"/>
      <c r="B46" s="110"/>
      <c r="C46" s="104" t="s">
        <v>330</v>
      </c>
      <c r="D46" s="618" t="s">
        <v>331</v>
      </c>
      <c r="E46" s="365">
        <v>6000000</v>
      </c>
      <c r="F46" s="286">
        <v>6000000</v>
      </c>
      <c r="G46" s="286">
        <v>6000000</v>
      </c>
      <c r="H46" s="286">
        <v>6000000</v>
      </c>
      <c r="I46" s="286">
        <v>6000000</v>
      </c>
      <c r="J46" s="286"/>
      <c r="K46" s="756"/>
      <c r="L46" s="365">
        <v>6000000</v>
      </c>
      <c r="M46" s="286">
        <v>6000000</v>
      </c>
      <c r="N46" s="286">
        <v>6000000</v>
      </c>
      <c r="O46" s="286">
        <v>6000000</v>
      </c>
      <c r="P46" s="286">
        <v>6000000</v>
      </c>
      <c r="Q46" s="286"/>
      <c r="R46" s="756">
        <f>Q46/P46</f>
        <v>0</v>
      </c>
      <c r="S46" s="365">
        <v>0</v>
      </c>
      <c r="T46" s="286">
        <v>0</v>
      </c>
      <c r="U46" s="286"/>
      <c r="V46" s="286"/>
      <c r="W46" s="286"/>
      <c r="X46" s="286"/>
      <c r="Y46" s="744"/>
    </row>
    <row r="47" spans="1:25" ht="21.75" customHeight="1" thickBot="1">
      <c r="A47" s="369"/>
      <c r="B47" s="99" t="s">
        <v>358</v>
      </c>
      <c r="C47" s="1020" t="s">
        <v>572</v>
      </c>
      <c r="D47" s="1020"/>
      <c r="E47" s="365">
        <v>0</v>
      </c>
      <c r="F47" s="286">
        <v>0</v>
      </c>
      <c r="G47" s="286">
        <v>0</v>
      </c>
      <c r="H47" s="286">
        <v>1500000</v>
      </c>
      <c r="I47" s="286">
        <v>1500000</v>
      </c>
      <c r="J47" s="286"/>
      <c r="K47" s="744"/>
      <c r="L47" s="365">
        <v>0</v>
      </c>
      <c r="M47" s="286">
        <v>0</v>
      </c>
      <c r="N47" s="286">
        <v>0</v>
      </c>
      <c r="O47" s="290">
        <f>H47-V47</f>
        <v>0</v>
      </c>
      <c r="P47" s="290">
        <f>I47-W47</f>
        <v>0</v>
      </c>
      <c r="Q47" s="286"/>
      <c r="R47" s="744"/>
      <c r="S47" s="365">
        <v>0</v>
      </c>
      <c r="T47" s="286">
        <v>0</v>
      </c>
      <c r="U47" s="286"/>
      <c r="V47" s="286">
        <f>H47</f>
        <v>1500000</v>
      </c>
      <c r="W47" s="286">
        <f>I47</f>
        <v>1500000</v>
      </c>
      <c r="X47" s="286"/>
      <c r="Y47" s="744"/>
    </row>
    <row r="48" spans="1:25" ht="21.75" customHeight="1" hidden="1" thickBot="1">
      <c r="A48" s="369"/>
      <c r="B48" s="110"/>
      <c r="C48" s="1028"/>
      <c r="D48" s="1028"/>
      <c r="E48" s="560"/>
      <c r="F48" s="561"/>
      <c r="G48" s="561"/>
      <c r="H48" s="561"/>
      <c r="I48" s="561"/>
      <c r="J48" s="561"/>
      <c r="K48" s="745" t="e">
        <f>I48/H48</f>
        <v>#DIV/0!</v>
      </c>
      <c r="L48" s="560"/>
      <c r="M48" s="561"/>
      <c r="N48" s="561"/>
      <c r="O48" s="561"/>
      <c r="P48" s="561"/>
      <c r="Q48" s="561"/>
      <c r="R48" s="745" t="e">
        <f>P48/O48</f>
        <v>#DIV/0!</v>
      </c>
      <c r="S48" s="560"/>
      <c r="T48" s="561"/>
      <c r="U48" s="561"/>
      <c r="V48" s="561"/>
      <c r="W48" s="561"/>
      <c r="X48" s="561"/>
      <c r="Y48" s="745"/>
    </row>
    <row r="49" spans="1:25" ht="21.75" customHeight="1" thickBot="1">
      <c r="A49" s="109" t="s">
        <v>12</v>
      </c>
      <c r="B49" s="1024" t="s">
        <v>76</v>
      </c>
      <c r="C49" s="1024"/>
      <c r="D49" s="1024"/>
      <c r="E49" s="356">
        <f aca="true" t="shared" si="15" ref="E49:J49">E50+E51</f>
        <v>60000</v>
      </c>
      <c r="F49" s="112">
        <f t="shared" si="15"/>
        <v>60000</v>
      </c>
      <c r="G49" s="112">
        <f>G50+G51</f>
        <v>360000</v>
      </c>
      <c r="H49" s="112">
        <f>H50+H51</f>
        <v>4898034</v>
      </c>
      <c r="I49" s="112">
        <f>I50+I51</f>
        <v>4924034</v>
      </c>
      <c r="J49" s="112">
        <f t="shared" si="15"/>
        <v>0</v>
      </c>
      <c r="K49" s="754">
        <f>J49/I49</f>
        <v>0</v>
      </c>
      <c r="L49" s="356">
        <f aca="true" t="shared" si="16" ref="L49:Q49">L50+L51</f>
        <v>60000</v>
      </c>
      <c r="M49" s="112">
        <f t="shared" si="16"/>
        <v>60000</v>
      </c>
      <c r="N49" s="112">
        <f t="shared" si="16"/>
        <v>360000</v>
      </c>
      <c r="O49" s="112">
        <f>O50+O51</f>
        <v>4898034</v>
      </c>
      <c r="P49" s="112">
        <f>P50+P51</f>
        <v>4924034</v>
      </c>
      <c r="Q49" s="112">
        <f t="shared" si="16"/>
        <v>0</v>
      </c>
      <c r="R49" s="754">
        <f>Q49/P49</f>
        <v>0</v>
      </c>
      <c r="S49" s="356">
        <f aca="true" t="shared" si="17" ref="S49:X49">S50+S51</f>
        <v>0</v>
      </c>
      <c r="T49" s="112">
        <f>T50+T51</f>
        <v>0</v>
      </c>
      <c r="U49" s="112">
        <f t="shared" si="17"/>
        <v>0</v>
      </c>
      <c r="V49" s="112">
        <f>V50+V51</f>
        <v>0</v>
      </c>
      <c r="W49" s="112">
        <f>W50+W51</f>
        <v>0</v>
      </c>
      <c r="X49" s="112">
        <f t="shared" si="17"/>
        <v>0</v>
      </c>
      <c r="Y49" s="760"/>
    </row>
    <row r="50" spans="1:25" s="983" customFormat="1" ht="21.75" customHeight="1">
      <c r="A50" s="982"/>
      <c r="B50" s="110" t="s">
        <v>45</v>
      </c>
      <c r="C50" s="1032" t="s">
        <v>344</v>
      </c>
      <c r="D50" s="1032"/>
      <c r="E50" s="364">
        <v>60000</v>
      </c>
      <c r="F50" s="1001">
        <v>60000</v>
      </c>
      <c r="G50" s="1001">
        <v>60000</v>
      </c>
      <c r="H50" s="1001">
        <f>60000+200000</f>
        <v>260000</v>
      </c>
      <c r="I50" s="1001">
        <f>60000+200000</f>
        <v>260000</v>
      </c>
      <c r="J50" s="1001"/>
      <c r="K50" s="756"/>
      <c r="L50" s="364">
        <v>60000</v>
      </c>
      <c r="M50" s="1001">
        <v>60000</v>
      </c>
      <c r="N50" s="1001">
        <v>60000</v>
      </c>
      <c r="O50" s="290">
        <f>H50</f>
        <v>260000</v>
      </c>
      <c r="P50" s="290">
        <f>I50</f>
        <v>260000</v>
      </c>
      <c r="Q50" s="286"/>
      <c r="R50" s="756">
        <f>Q50/P50</f>
        <v>0</v>
      </c>
      <c r="S50" s="364">
        <v>0</v>
      </c>
      <c r="T50" s="1001">
        <v>0</v>
      </c>
      <c r="U50" s="1001"/>
      <c r="V50" s="1001"/>
      <c r="W50" s="1001"/>
      <c r="X50" s="1001"/>
      <c r="Y50" s="764"/>
    </row>
    <row r="51" spans="1:25" s="983" customFormat="1" ht="21.75" customHeight="1" thickBot="1">
      <c r="A51" s="102"/>
      <c r="B51" s="98" t="s">
        <v>46</v>
      </c>
      <c r="C51" s="1020" t="s">
        <v>550</v>
      </c>
      <c r="D51" s="1020"/>
      <c r="E51" s="347">
        <v>0</v>
      </c>
      <c r="F51" s="287">
        <v>0</v>
      </c>
      <c r="G51" s="287">
        <v>300000</v>
      </c>
      <c r="H51" s="287">
        <f>300000+4338034</f>
        <v>4638034</v>
      </c>
      <c r="I51" s="287">
        <f>300000+4338034+26000</f>
        <v>4664034</v>
      </c>
      <c r="J51" s="287"/>
      <c r="K51" s="769"/>
      <c r="L51" s="347">
        <v>0</v>
      </c>
      <c r="M51" s="287">
        <v>0</v>
      </c>
      <c r="N51" s="287">
        <v>300000</v>
      </c>
      <c r="O51" s="290">
        <f>H51</f>
        <v>4638034</v>
      </c>
      <c r="P51" s="290">
        <f>I51</f>
        <v>4664034</v>
      </c>
      <c r="Q51" s="287"/>
      <c r="R51" s="769"/>
      <c r="S51" s="347">
        <v>0</v>
      </c>
      <c r="T51" s="287">
        <v>0</v>
      </c>
      <c r="U51" s="287"/>
      <c r="V51" s="287"/>
      <c r="W51" s="287"/>
      <c r="X51" s="287"/>
      <c r="Y51" s="769"/>
    </row>
    <row r="52" spans="1:25" ht="21.75" customHeight="1" thickBot="1">
      <c r="A52" s="109" t="s">
        <v>13</v>
      </c>
      <c r="B52" s="1024" t="s">
        <v>332</v>
      </c>
      <c r="C52" s="1024"/>
      <c r="D52" s="1024"/>
      <c r="E52" s="351">
        <f aca="true" t="shared" si="18" ref="E52:J52">SUM(E53:E54)</f>
        <v>0</v>
      </c>
      <c r="F52" s="288">
        <f t="shared" si="18"/>
        <v>0</v>
      </c>
      <c r="G52" s="288">
        <f>SUM(G53:G54)</f>
        <v>4115</v>
      </c>
      <c r="H52" s="288">
        <f>SUM(H53:H54)</f>
        <v>10004115</v>
      </c>
      <c r="I52" s="288">
        <f>SUM(I53:I54)</f>
        <v>10004115</v>
      </c>
      <c r="J52" s="288">
        <f t="shared" si="18"/>
        <v>0</v>
      </c>
      <c r="K52" s="754">
        <f>J52/I52</f>
        <v>0</v>
      </c>
      <c r="L52" s="351">
        <f aca="true" t="shared" si="19" ref="L52:Q52">SUM(L53:L54)</f>
        <v>0</v>
      </c>
      <c r="M52" s="288">
        <f t="shared" si="19"/>
        <v>0</v>
      </c>
      <c r="N52" s="288">
        <f t="shared" si="19"/>
        <v>4115</v>
      </c>
      <c r="O52" s="288">
        <f>SUM(O53:O54)</f>
        <v>10004115</v>
      </c>
      <c r="P52" s="288">
        <f>SUM(P53:P54)</f>
        <v>10004115</v>
      </c>
      <c r="Q52" s="288">
        <f t="shared" si="19"/>
        <v>0</v>
      </c>
      <c r="R52" s="754">
        <f>Q52/P52</f>
        <v>0</v>
      </c>
      <c r="S52" s="351">
        <f aca="true" t="shared" si="20" ref="S52:X52">SUM(S53:S54)</f>
        <v>0</v>
      </c>
      <c r="T52" s="288">
        <f>SUM(T53:T54)</f>
        <v>0</v>
      </c>
      <c r="U52" s="288">
        <f t="shared" si="20"/>
        <v>0</v>
      </c>
      <c r="V52" s="288">
        <f>SUM(V53:V54)</f>
        <v>0</v>
      </c>
      <c r="W52" s="288">
        <f>SUM(W53:W54)</f>
        <v>0</v>
      </c>
      <c r="X52" s="288">
        <f t="shared" si="20"/>
        <v>0</v>
      </c>
      <c r="Y52" s="766"/>
    </row>
    <row r="53" spans="1:25" s="7" customFormat="1" ht="21.75" customHeight="1">
      <c r="A53" s="111"/>
      <c r="B53" s="104" t="s">
        <v>47</v>
      </c>
      <c r="C53" s="1032" t="s">
        <v>334</v>
      </c>
      <c r="D53" s="1032"/>
      <c r="E53" s="352">
        <v>0</v>
      </c>
      <c r="F53" s="290">
        <v>0</v>
      </c>
      <c r="G53" s="290">
        <v>4115</v>
      </c>
      <c r="H53" s="290">
        <f>4115+10000000</f>
        <v>10004115</v>
      </c>
      <c r="I53" s="290">
        <f>4115+10000000</f>
        <v>10004115</v>
      </c>
      <c r="J53" s="290"/>
      <c r="K53" s="756"/>
      <c r="L53" s="352">
        <v>0</v>
      </c>
      <c r="M53" s="290">
        <v>0</v>
      </c>
      <c r="N53" s="290">
        <v>4115</v>
      </c>
      <c r="O53" s="290">
        <f>H53</f>
        <v>10004115</v>
      </c>
      <c r="P53" s="290">
        <f>I53</f>
        <v>10004115</v>
      </c>
      <c r="Q53" s="286"/>
      <c r="R53" s="756">
        <f>Q53/P53</f>
        <v>0</v>
      </c>
      <c r="S53" s="352">
        <v>0</v>
      </c>
      <c r="T53" s="290">
        <v>0</v>
      </c>
      <c r="U53" s="290"/>
      <c r="V53" s="290"/>
      <c r="W53" s="290"/>
      <c r="X53" s="290"/>
      <c r="Y53" s="772"/>
    </row>
    <row r="54" spans="1:25" ht="21.75" customHeight="1" thickBot="1">
      <c r="A54" s="106"/>
      <c r="B54" s="107" t="s">
        <v>333</v>
      </c>
      <c r="C54" s="1025" t="s">
        <v>335</v>
      </c>
      <c r="D54" s="1025"/>
      <c r="E54" s="366">
        <v>0</v>
      </c>
      <c r="F54" s="367">
        <v>0</v>
      </c>
      <c r="G54" s="367">
        <v>0</v>
      </c>
      <c r="H54" s="367">
        <v>0</v>
      </c>
      <c r="I54" s="367">
        <v>0</v>
      </c>
      <c r="J54" s="367"/>
      <c r="K54" s="768"/>
      <c r="L54" s="366">
        <v>0</v>
      </c>
      <c r="M54" s="367">
        <v>0</v>
      </c>
      <c r="N54" s="367">
        <v>0</v>
      </c>
      <c r="O54" s="367">
        <v>0</v>
      </c>
      <c r="P54" s="367">
        <v>0</v>
      </c>
      <c r="Q54" s="367">
        <v>0</v>
      </c>
      <c r="R54" s="768"/>
      <c r="S54" s="366">
        <v>0</v>
      </c>
      <c r="T54" s="367">
        <v>0</v>
      </c>
      <c r="U54" s="367"/>
      <c r="V54" s="367"/>
      <c r="W54" s="367"/>
      <c r="X54" s="367"/>
      <c r="Y54" s="768"/>
    </row>
    <row r="55" spans="1:25" ht="21.75" customHeight="1" thickBot="1">
      <c r="A55" s="109" t="s">
        <v>14</v>
      </c>
      <c r="B55" s="1033" t="s">
        <v>78</v>
      </c>
      <c r="C55" s="1033"/>
      <c r="D55" s="1033"/>
      <c r="E55" s="351">
        <f aca="true" t="shared" si="21" ref="E55:J55">E7+E21+E41+E49+E52+E32</f>
        <v>433344951</v>
      </c>
      <c r="F55" s="288">
        <f t="shared" si="21"/>
        <v>433344951</v>
      </c>
      <c r="G55" s="288">
        <f t="shared" si="21"/>
        <v>436366021</v>
      </c>
      <c r="H55" s="288">
        <f t="shared" si="21"/>
        <v>452746249</v>
      </c>
      <c r="I55" s="288">
        <f t="shared" si="21"/>
        <v>452964496</v>
      </c>
      <c r="J55" s="288">
        <f t="shared" si="21"/>
        <v>0</v>
      </c>
      <c r="K55" s="754">
        <f>J55/I55</f>
        <v>0</v>
      </c>
      <c r="L55" s="351">
        <f>L7+L21+L41+L49+L52+L32</f>
        <v>412697158</v>
      </c>
      <c r="M55" s="288">
        <f>M7+M21+M41+M49+M52+M32</f>
        <v>412697158</v>
      </c>
      <c r="N55" s="288">
        <f>N7+N21+N41+N49+N52+N32</f>
        <v>415708228</v>
      </c>
      <c r="O55" s="288">
        <f>O7+O21+O41+O49+O52+O32</f>
        <v>430358456</v>
      </c>
      <c r="P55" s="288">
        <f>P7+P21+P41+P49+P52+P32</f>
        <v>430576703</v>
      </c>
      <c r="Q55" s="288">
        <f>Q7+Q21+Q41+Q49+Q52+Q32</f>
        <v>0</v>
      </c>
      <c r="R55" s="754">
        <f>Q55/P55</f>
        <v>0</v>
      </c>
      <c r="S55" s="351">
        <f aca="true" t="shared" si="22" ref="S55:X55">S7+S21+S41+S49+S52+S32</f>
        <v>20647793</v>
      </c>
      <c r="T55" s="288">
        <f>T7+T21+T41+T49+T52+T32</f>
        <v>20647793</v>
      </c>
      <c r="U55" s="288">
        <f t="shared" si="22"/>
        <v>20657793</v>
      </c>
      <c r="V55" s="288">
        <f>V7+V21+V41+V49+V52+V32</f>
        <v>22387793</v>
      </c>
      <c r="W55" s="288">
        <f>W7+W21+W41+W49+W52+W32</f>
        <v>22387793</v>
      </c>
      <c r="X55" s="288">
        <f t="shared" si="22"/>
        <v>0</v>
      </c>
      <c r="Y55" s="766">
        <f>W55/V55</f>
        <v>1</v>
      </c>
    </row>
    <row r="56" spans="1:25" ht="24" customHeight="1" thickBot="1">
      <c r="A56" s="105" t="s">
        <v>59</v>
      </c>
      <c r="B56" s="1024" t="s">
        <v>336</v>
      </c>
      <c r="C56" s="1024"/>
      <c r="D56" s="1024"/>
      <c r="E56" s="351">
        <f aca="true" t="shared" si="23" ref="E56:J56">SUM(E57:E59)</f>
        <v>149687964</v>
      </c>
      <c r="F56" s="288">
        <f t="shared" si="23"/>
        <v>149687964</v>
      </c>
      <c r="G56" s="288">
        <f>SUM(G57:G59)</f>
        <v>146002158</v>
      </c>
      <c r="H56" s="288">
        <f>SUM(H57:H59)</f>
        <v>146002158</v>
      </c>
      <c r="I56" s="288">
        <f>SUM(I57:I59)</f>
        <v>146002158</v>
      </c>
      <c r="J56" s="288">
        <f t="shared" si="23"/>
        <v>0</v>
      </c>
      <c r="K56" s="754">
        <f>J56/I56</f>
        <v>0</v>
      </c>
      <c r="L56" s="351">
        <f aca="true" t="shared" si="24" ref="L56:Q56">SUM(L57:L59)</f>
        <v>149687964</v>
      </c>
      <c r="M56" s="288">
        <f t="shared" si="24"/>
        <v>149687964</v>
      </c>
      <c r="N56" s="288">
        <f t="shared" si="24"/>
        <v>146002158</v>
      </c>
      <c r="O56" s="288">
        <f>SUM(O57:O59)</f>
        <v>146002158</v>
      </c>
      <c r="P56" s="288">
        <f>SUM(P57:P59)</f>
        <v>146002158</v>
      </c>
      <c r="Q56" s="288">
        <f t="shared" si="24"/>
        <v>0</v>
      </c>
      <c r="R56" s="754">
        <f>Q56/P56</f>
        <v>0</v>
      </c>
      <c r="S56" s="351">
        <f aca="true" t="shared" si="25" ref="S56:X56">SUM(S57:S59)</f>
        <v>0</v>
      </c>
      <c r="T56" s="288">
        <f>SUM(T57:T59)</f>
        <v>0</v>
      </c>
      <c r="U56" s="288">
        <f t="shared" si="25"/>
        <v>0</v>
      </c>
      <c r="V56" s="288">
        <f>SUM(V57:V59)</f>
        <v>0</v>
      </c>
      <c r="W56" s="288">
        <f>SUM(W57:W59)</f>
        <v>0</v>
      </c>
      <c r="X56" s="288">
        <f t="shared" si="25"/>
        <v>0</v>
      </c>
      <c r="Y56" s="766"/>
    </row>
    <row r="57" spans="1:25" ht="21.75" customHeight="1">
      <c r="A57" s="103"/>
      <c r="B57" s="104" t="s">
        <v>48</v>
      </c>
      <c r="C57" s="1032" t="s">
        <v>337</v>
      </c>
      <c r="D57" s="1032"/>
      <c r="E57" s="352">
        <v>12000000</v>
      </c>
      <c r="F57" s="290">
        <v>12000000</v>
      </c>
      <c r="G57" s="290">
        <f>12000000-3684719</f>
        <v>8315281</v>
      </c>
      <c r="H57" s="290">
        <f>12000000-3684719</f>
        <v>8315281</v>
      </c>
      <c r="I57" s="290">
        <f>12000000-3684719</f>
        <v>8315281</v>
      </c>
      <c r="J57" s="290"/>
      <c r="K57" s="756"/>
      <c r="L57" s="352">
        <v>12000000</v>
      </c>
      <c r="M57" s="290">
        <v>12000000</v>
      </c>
      <c r="N57" s="290">
        <f>12000000-3684719</f>
        <v>8315281</v>
      </c>
      <c r="O57" s="290">
        <f>H57</f>
        <v>8315281</v>
      </c>
      <c r="P57" s="290">
        <f>I57</f>
        <v>8315281</v>
      </c>
      <c r="Q57" s="286"/>
      <c r="R57" s="756">
        <f>Q57/P57</f>
        <v>0</v>
      </c>
      <c r="S57" s="352">
        <v>0</v>
      </c>
      <c r="T57" s="290">
        <v>0</v>
      </c>
      <c r="U57" s="290"/>
      <c r="V57" s="290"/>
      <c r="W57" s="290"/>
      <c r="X57" s="290"/>
      <c r="Y57" s="772"/>
    </row>
    <row r="58" spans="1:25" ht="21.75" customHeight="1">
      <c r="A58" s="102"/>
      <c r="B58" s="99" t="s">
        <v>49</v>
      </c>
      <c r="C58" s="1032" t="s">
        <v>498</v>
      </c>
      <c r="D58" s="1032"/>
      <c r="E58" s="347"/>
      <c r="F58" s="287"/>
      <c r="G58" s="287"/>
      <c r="H58" s="287"/>
      <c r="I58" s="287"/>
      <c r="J58" s="287"/>
      <c r="K58" s="769"/>
      <c r="L58" s="347"/>
      <c r="M58" s="287"/>
      <c r="N58" s="287"/>
      <c r="O58" s="287"/>
      <c r="P58" s="287"/>
      <c r="Q58" s="287"/>
      <c r="R58" s="769"/>
      <c r="S58" s="347">
        <v>0</v>
      </c>
      <c r="T58" s="287">
        <v>0</v>
      </c>
      <c r="U58" s="287"/>
      <c r="V58" s="287"/>
      <c r="W58" s="287"/>
      <c r="X58" s="287"/>
      <c r="Y58" s="769"/>
    </row>
    <row r="59" spans="1:25" ht="21.75" customHeight="1" thickBot="1">
      <c r="A59" s="102"/>
      <c r="B59" s="99" t="s">
        <v>77</v>
      </c>
      <c r="C59" s="1032" t="s">
        <v>338</v>
      </c>
      <c r="D59" s="1032"/>
      <c r="E59" s="347">
        <v>137687964</v>
      </c>
      <c r="F59" s="287">
        <v>137687964</v>
      </c>
      <c r="G59" s="287">
        <f>137687964-1087</f>
        <v>137686877</v>
      </c>
      <c r="H59" s="287">
        <f>137687964-1087</f>
        <v>137686877</v>
      </c>
      <c r="I59" s="287">
        <f>137687964-1087</f>
        <v>137686877</v>
      </c>
      <c r="J59" s="287"/>
      <c r="K59" s="756"/>
      <c r="L59" s="347">
        <v>137687964</v>
      </c>
      <c r="M59" s="287">
        <v>137687964</v>
      </c>
      <c r="N59" s="287">
        <f>137687964-1087</f>
        <v>137686877</v>
      </c>
      <c r="O59" s="290">
        <f>H59</f>
        <v>137686877</v>
      </c>
      <c r="P59" s="290">
        <f>I59</f>
        <v>137686877</v>
      </c>
      <c r="Q59" s="286"/>
      <c r="R59" s="756">
        <f>Q59/P59</f>
        <v>0</v>
      </c>
      <c r="S59" s="347">
        <v>0</v>
      </c>
      <c r="T59" s="287">
        <v>0</v>
      </c>
      <c r="U59" s="287"/>
      <c r="V59" s="287"/>
      <c r="W59" s="287"/>
      <c r="X59" s="287"/>
      <c r="Y59" s="769"/>
    </row>
    <row r="60" spans="1:25" ht="35.25" customHeight="1" thickBot="1">
      <c r="A60" s="109" t="s">
        <v>60</v>
      </c>
      <c r="B60" s="1031" t="s">
        <v>79</v>
      </c>
      <c r="C60" s="1031"/>
      <c r="D60" s="1031"/>
      <c r="E60" s="353">
        <f aca="true" t="shared" si="26" ref="E60:J60">E55+E56</f>
        <v>583032915</v>
      </c>
      <c r="F60" s="73">
        <f t="shared" si="26"/>
        <v>583032915</v>
      </c>
      <c r="G60" s="73">
        <f>G55+G56</f>
        <v>582368179</v>
      </c>
      <c r="H60" s="73">
        <f>H55+H56</f>
        <v>598748407</v>
      </c>
      <c r="I60" s="73">
        <f>I55+I56</f>
        <v>598966654</v>
      </c>
      <c r="J60" s="73">
        <f t="shared" si="26"/>
        <v>0</v>
      </c>
      <c r="K60" s="754">
        <f>J60/I60</f>
        <v>0</v>
      </c>
      <c r="L60" s="353">
        <f aca="true" t="shared" si="27" ref="L60:Q60">L55+L56</f>
        <v>562385122</v>
      </c>
      <c r="M60" s="73">
        <f t="shared" si="27"/>
        <v>562385122</v>
      </c>
      <c r="N60" s="73">
        <f t="shared" si="27"/>
        <v>561710386</v>
      </c>
      <c r="O60" s="73">
        <f>O55+O56</f>
        <v>576360614</v>
      </c>
      <c r="P60" s="73">
        <f>P55+P56</f>
        <v>576578861</v>
      </c>
      <c r="Q60" s="73">
        <f t="shared" si="27"/>
        <v>0</v>
      </c>
      <c r="R60" s="754">
        <f>Q60/P60</f>
        <v>0</v>
      </c>
      <c r="S60" s="353">
        <f aca="true" t="shared" si="28" ref="S60:X60">S55+S56</f>
        <v>20647793</v>
      </c>
      <c r="T60" s="73">
        <f>T55+T56</f>
        <v>20647793</v>
      </c>
      <c r="U60" s="73">
        <f t="shared" si="28"/>
        <v>20657793</v>
      </c>
      <c r="V60" s="73">
        <f>V55+V56</f>
        <v>22387793</v>
      </c>
      <c r="W60" s="73">
        <f>W55+W56</f>
        <v>22387793</v>
      </c>
      <c r="X60" s="73">
        <f t="shared" si="28"/>
        <v>0</v>
      </c>
      <c r="Y60" s="770">
        <f>W60/V60</f>
        <v>1</v>
      </c>
    </row>
    <row r="61" spans="1:25" ht="21.75" customHeight="1" hidden="1" thickBot="1">
      <c r="A61" s="1026" t="s">
        <v>243</v>
      </c>
      <c r="B61" s="1027"/>
      <c r="C61" s="1027"/>
      <c r="D61" s="1027"/>
      <c r="E61" s="562"/>
      <c r="F61" s="563"/>
      <c r="G61" s="563"/>
      <c r="H61" s="563"/>
      <c r="I61" s="563"/>
      <c r="J61" s="563"/>
      <c r="K61" s="754" t="e">
        <f>J61/I61</f>
        <v>#DIV/0!</v>
      </c>
      <c r="L61" s="562"/>
      <c r="M61" s="563"/>
      <c r="N61" s="563"/>
      <c r="O61" s="563"/>
      <c r="P61" s="563"/>
      <c r="Q61" s="563"/>
      <c r="R61" s="754" t="e">
        <f>Q61/P61</f>
        <v>#DIV/0!</v>
      </c>
      <c r="S61" s="562"/>
      <c r="T61" s="563"/>
      <c r="U61" s="563"/>
      <c r="V61" s="563"/>
      <c r="W61" s="563"/>
      <c r="X61" s="563"/>
      <c r="Y61" s="568" t="e">
        <f>W61/V61</f>
        <v>#DIV/0!</v>
      </c>
    </row>
    <row r="62" spans="1:25" ht="21.75" customHeight="1" thickBot="1">
      <c r="A62" s="1030" t="s">
        <v>7</v>
      </c>
      <c r="B62" s="1031"/>
      <c r="C62" s="1031"/>
      <c r="D62" s="1031"/>
      <c r="E62" s="390">
        <f aca="true" t="shared" si="29" ref="E62:J62">E60+E61</f>
        <v>583032915</v>
      </c>
      <c r="F62" s="391">
        <f t="shared" si="29"/>
        <v>583032915</v>
      </c>
      <c r="G62" s="391">
        <f t="shared" si="29"/>
        <v>582368179</v>
      </c>
      <c r="H62" s="391">
        <f t="shared" si="29"/>
        <v>598748407</v>
      </c>
      <c r="I62" s="391">
        <f t="shared" si="29"/>
        <v>598966654</v>
      </c>
      <c r="J62" s="391">
        <f t="shared" si="29"/>
        <v>0</v>
      </c>
      <c r="K62" s="754">
        <f>J62/I62</f>
        <v>0</v>
      </c>
      <c r="L62" s="390">
        <f>L60+L61</f>
        <v>562385122</v>
      </c>
      <c r="M62" s="391">
        <f>M60+M61</f>
        <v>562385122</v>
      </c>
      <c r="N62" s="391">
        <f>N60+N61</f>
        <v>561710386</v>
      </c>
      <c r="O62" s="391">
        <f>O60+O61</f>
        <v>576360614</v>
      </c>
      <c r="P62" s="391">
        <f>P60+P61</f>
        <v>576578861</v>
      </c>
      <c r="Q62" s="391">
        <f>Q60+Q61</f>
        <v>0</v>
      </c>
      <c r="R62" s="754">
        <f>Q62/P62</f>
        <v>0</v>
      </c>
      <c r="S62" s="390">
        <f aca="true" t="shared" si="30" ref="S62:X62">S60+S61</f>
        <v>20647793</v>
      </c>
      <c r="T62" s="391">
        <f>T60+T61</f>
        <v>20647793</v>
      </c>
      <c r="U62" s="391">
        <f t="shared" si="30"/>
        <v>20657793</v>
      </c>
      <c r="V62" s="391">
        <f>V60+V61</f>
        <v>22387793</v>
      </c>
      <c r="W62" s="391">
        <f>W60+W61</f>
        <v>22387793</v>
      </c>
      <c r="X62" s="391">
        <f t="shared" si="30"/>
        <v>0</v>
      </c>
      <c r="Y62" s="393">
        <f>W62/V62</f>
        <v>1</v>
      </c>
    </row>
    <row r="63" spans="1:25" ht="21.75" customHeight="1">
      <c r="A63" s="565"/>
      <c r="B63" s="566"/>
      <c r="C63" s="566"/>
      <c r="D63" s="566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981"/>
      <c r="P63" s="567"/>
      <c r="Q63" s="567"/>
      <c r="R63" s="567"/>
      <c r="S63" s="567"/>
      <c r="T63" s="567"/>
      <c r="U63" s="567"/>
      <c r="V63" s="567"/>
      <c r="W63" s="567"/>
      <c r="X63" s="567"/>
      <c r="Y63" s="567"/>
    </row>
    <row r="64" spans="1:22" ht="21.75" customHeight="1">
      <c r="A64" s="88"/>
      <c r="B64" s="135"/>
      <c r="C64" s="135"/>
      <c r="D64" s="135"/>
      <c r="E64" s="321"/>
      <c r="F64" s="321"/>
      <c r="G64" s="321"/>
      <c r="H64" s="321"/>
      <c r="I64" s="320"/>
      <c r="J64" s="320"/>
      <c r="K64" s="321"/>
      <c r="L64" s="321"/>
      <c r="T64" s="321"/>
      <c r="U64" s="321"/>
      <c r="V64" s="321"/>
    </row>
    <row r="65" spans="1:22" ht="35.25" customHeight="1">
      <c r="A65" s="88"/>
      <c r="B65" s="135"/>
      <c r="C65" s="135"/>
      <c r="D65" s="135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P65" s="321"/>
      <c r="Q65" s="321"/>
      <c r="R65" s="321"/>
      <c r="T65" s="321"/>
      <c r="U65" s="321"/>
      <c r="V65" s="321"/>
    </row>
    <row r="66" spans="1:22" ht="35.25" customHeight="1">
      <c r="A66" s="88"/>
      <c r="B66" s="135"/>
      <c r="C66" s="135"/>
      <c r="D66" s="135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T66" s="321"/>
      <c r="U66" s="321"/>
      <c r="V66" s="321"/>
    </row>
    <row r="67" spans="5:22" ht="12.75"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T67" s="321"/>
      <c r="U67" s="321"/>
      <c r="V67" s="321"/>
    </row>
    <row r="68" spans="5:22" ht="12.75"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T68" s="321"/>
      <c r="U68" s="321"/>
      <c r="V68" s="321"/>
    </row>
    <row r="69" spans="5:22" ht="12.75"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T69" s="321"/>
      <c r="U69" s="321"/>
      <c r="V69" s="321"/>
    </row>
    <row r="70" spans="4:22" ht="12.75">
      <c r="D70" s="96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T70" s="321"/>
      <c r="U70" s="321"/>
      <c r="V70" s="321"/>
    </row>
    <row r="71" spans="4:22" ht="48.75" customHeight="1">
      <c r="D71" s="96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T71" s="321"/>
      <c r="U71" s="321"/>
      <c r="V71" s="321"/>
    </row>
    <row r="72" spans="4:22" ht="46.5" customHeight="1">
      <c r="D72" s="96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T72" s="321"/>
      <c r="U72" s="321"/>
      <c r="V72" s="321"/>
    </row>
    <row r="73" spans="5:22" ht="41.25" customHeight="1"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T73" s="321"/>
      <c r="U73" s="321"/>
      <c r="V73" s="321"/>
    </row>
    <row r="74" spans="5:22" ht="12.75"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T74" s="321"/>
      <c r="U74" s="321"/>
      <c r="V74" s="321"/>
    </row>
    <row r="75" spans="5:22" ht="12.75"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T75" s="321"/>
      <c r="U75" s="321"/>
      <c r="V75" s="321"/>
    </row>
    <row r="76" spans="5:22" ht="12.75"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T76" s="321"/>
      <c r="U76" s="321"/>
      <c r="V76" s="321"/>
    </row>
    <row r="77" spans="5:22" ht="12.75"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T77" s="321"/>
      <c r="U77" s="321"/>
      <c r="V77" s="321"/>
    </row>
    <row r="78" spans="5:22" ht="12.75"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T78" s="321"/>
      <c r="U78" s="321"/>
      <c r="V78" s="321"/>
    </row>
    <row r="79" spans="5:22" ht="12.75"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T79" s="321"/>
      <c r="U79" s="321"/>
      <c r="V79" s="321"/>
    </row>
    <row r="80" spans="5:22" ht="12.75"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T80" s="321"/>
      <c r="U80" s="321"/>
      <c r="V80" s="321"/>
    </row>
    <row r="81" spans="5:22" ht="12.75"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T81" s="321"/>
      <c r="U81" s="321"/>
      <c r="V81" s="321"/>
    </row>
    <row r="82" spans="5:22" ht="12.75"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T82" s="321"/>
      <c r="U82" s="321"/>
      <c r="V82" s="321"/>
    </row>
    <row r="83" spans="5:22" ht="12.75"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T83" s="321"/>
      <c r="U83" s="321"/>
      <c r="V83" s="321"/>
    </row>
    <row r="84" spans="5:22" ht="12.75"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T84" s="321"/>
      <c r="U84" s="321"/>
      <c r="V84" s="321"/>
    </row>
    <row r="85" spans="5:22" ht="12.75"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T85" s="321"/>
      <c r="U85" s="321"/>
      <c r="V85" s="321"/>
    </row>
    <row r="86" spans="5:22" ht="12.75"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T86" s="321"/>
      <c r="U86" s="321"/>
      <c r="V86" s="321"/>
    </row>
    <row r="87" spans="5:22" ht="12.75"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T87" s="321"/>
      <c r="U87" s="321"/>
      <c r="V87" s="321"/>
    </row>
    <row r="88" spans="5:22" ht="12.75"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T88" s="321"/>
      <c r="U88" s="321"/>
      <c r="V88" s="321"/>
    </row>
    <row r="89" spans="5:22" ht="12.75"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T89" s="321"/>
      <c r="U89" s="321"/>
      <c r="V89" s="321"/>
    </row>
    <row r="90" spans="5:22" ht="12.75"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T90" s="321"/>
      <c r="U90" s="321"/>
      <c r="V90" s="321"/>
    </row>
    <row r="91" spans="5:22" ht="12.75"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T91" s="321"/>
      <c r="U91" s="321"/>
      <c r="V91" s="321"/>
    </row>
    <row r="92" spans="5:22" ht="12.75"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T92" s="321"/>
      <c r="U92" s="321"/>
      <c r="V92" s="321"/>
    </row>
    <row r="93" spans="5:22" ht="12.75"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T93" s="321"/>
      <c r="U93" s="321"/>
      <c r="V93" s="321"/>
    </row>
    <row r="94" spans="5:22" ht="12.75"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T94" s="321"/>
      <c r="U94" s="321"/>
      <c r="V94" s="321"/>
    </row>
    <row r="95" spans="5:22" ht="12.75"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T95" s="321"/>
      <c r="U95" s="321"/>
      <c r="V95" s="321"/>
    </row>
    <row r="96" spans="5:22" ht="12.75"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T96" s="321"/>
      <c r="U96" s="321"/>
      <c r="V96" s="321"/>
    </row>
    <row r="97" spans="5:22" ht="12.75"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T97" s="321"/>
      <c r="U97" s="321"/>
      <c r="V97" s="321"/>
    </row>
    <row r="98" spans="5:22" ht="12.75"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T98" s="321"/>
      <c r="U98" s="321"/>
      <c r="V98" s="321"/>
    </row>
    <row r="99" spans="5:22" ht="12.75"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T99" s="321"/>
      <c r="U99" s="321"/>
      <c r="V99" s="321"/>
    </row>
    <row r="100" spans="5:22" ht="12.75"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T100" s="321"/>
      <c r="U100" s="321"/>
      <c r="V100" s="321"/>
    </row>
    <row r="101" spans="5:22" ht="12.75"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T101" s="321"/>
      <c r="U101" s="321"/>
      <c r="V101" s="321"/>
    </row>
    <row r="102" spans="5:22" ht="12.75"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T102" s="321"/>
      <c r="U102" s="321"/>
      <c r="V102" s="321"/>
    </row>
    <row r="103" spans="5:22" ht="12.75"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T103" s="321"/>
      <c r="U103" s="321"/>
      <c r="V103" s="321"/>
    </row>
    <row r="104" spans="5:22" ht="12.75"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T104" s="321"/>
      <c r="U104" s="321"/>
      <c r="V104" s="321"/>
    </row>
    <row r="105" spans="5:22" ht="12.75"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T105" s="321"/>
      <c r="U105" s="321"/>
      <c r="V105" s="321"/>
    </row>
    <row r="106" spans="5:22" ht="12.75"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T106" s="321"/>
      <c r="U106" s="321"/>
      <c r="V106" s="321"/>
    </row>
    <row r="107" spans="5:22" ht="12.75"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T107" s="321"/>
      <c r="U107" s="321"/>
      <c r="V107" s="321"/>
    </row>
    <row r="108" spans="5:22" ht="12.75"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T108" s="321"/>
      <c r="U108" s="321"/>
      <c r="V108" s="321"/>
    </row>
    <row r="109" spans="5:22" ht="12.75"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T109" s="321"/>
      <c r="U109" s="321"/>
      <c r="V109" s="321"/>
    </row>
    <row r="110" spans="5:22" ht="12.75"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T110" s="321"/>
      <c r="U110" s="321"/>
      <c r="V110" s="321"/>
    </row>
    <row r="111" spans="5:22" ht="12.75"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T111" s="321"/>
      <c r="U111" s="321"/>
      <c r="V111" s="321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70" zoomScaleNormal="70" workbookViewId="0" topLeftCell="G13">
      <selection activeCell="P13" sqref="P13"/>
    </sheetView>
  </sheetViews>
  <sheetFormatPr defaultColWidth="9.140625" defaultRowHeight="12.75"/>
  <cols>
    <col min="1" max="1" width="5.8515625" style="117" customWidth="1"/>
    <col min="2" max="2" width="8.140625" style="124" customWidth="1"/>
    <col min="3" max="3" width="6.8515625" style="124" customWidth="1"/>
    <col min="4" max="4" width="50.140625" style="125" bestFit="1" customWidth="1"/>
    <col min="5" max="5" width="21.57421875" style="1" customWidth="1"/>
    <col min="6" max="7" width="17.00390625" style="1" customWidth="1"/>
    <col min="8" max="8" width="20.421875" style="1" customWidth="1"/>
    <col min="9" max="9" width="18.421875" style="1" customWidth="1"/>
    <col min="10" max="11" width="11.8515625" style="1" hidden="1" customWidth="1"/>
    <col min="12" max="12" width="20.7109375" style="75" customWidth="1"/>
    <col min="13" max="13" width="16.421875" style="75" bestFit="1" customWidth="1"/>
    <col min="14" max="14" width="18.28125" style="75" customWidth="1"/>
    <col min="15" max="15" width="15.7109375" style="75" customWidth="1"/>
    <col min="16" max="16" width="17.140625" style="75" customWidth="1"/>
    <col min="17" max="17" width="11.8515625" style="75" hidden="1" customWidth="1"/>
    <col min="18" max="18" width="10.8515625" style="75" hidden="1" customWidth="1"/>
    <col min="19" max="19" width="22.140625" style="75" customWidth="1"/>
    <col min="20" max="20" width="14.8515625" style="75" bestFit="1" customWidth="1"/>
    <col min="21" max="21" width="15.7109375" style="1" customWidth="1"/>
    <col min="22" max="22" width="17.7109375" style="1" customWidth="1"/>
    <col min="23" max="23" width="19.140625" style="1" customWidth="1"/>
    <col min="24" max="24" width="9.2812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093" t="s">
        <v>57</v>
      </c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</row>
    <row r="2" spans="1:20" ht="37.5" customHeight="1">
      <c r="A2" s="1092" t="s">
        <v>509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  <c r="S2" s="1092"/>
      <c r="T2" s="244"/>
    </row>
    <row r="3" spans="1:19" ht="14.25" customHeight="1" thickBot="1">
      <c r="A3" s="88"/>
      <c r="B3" s="116"/>
      <c r="C3" s="116"/>
      <c r="D3" s="126"/>
      <c r="S3" s="132" t="s">
        <v>2</v>
      </c>
    </row>
    <row r="4" spans="1:25" s="2" customFormat="1" ht="48.75" customHeight="1" thickBot="1">
      <c r="A4" s="1063" t="s">
        <v>4</v>
      </c>
      <c r="B4" s="1033"/>
      <c r="C4" s="1033"/>
      <c r="D4" s="1033"/>
      <c r="E4" s="438" t="s">
        <v>5</v>
      </c>
      <c r="F4" s="384"/>
      <c r="G4" s="384"/>
      <c r="H4" s="384"/>
      <c r="I4" s="385"/>
      <c r="J4" s="985"/>
      <c r="K4" s="299"/>
      <c r="L4" s="438" t="s">
        <v>63</v>
      </c>
      <c r="M4" s="384"/>
      <c r="N4" s="384"/>
      <c r="O4" s="384"/>
      <c r="P4" s="385"/>
      <c r="Q4" s="985"/>
      <c r="R4" s="299"/>
      <c r="S4" s="1064" t="s">
        <v>64</v>
      </c>
      <c r="T4" s="1065"/>
      <c r="U4" s="1065"/>
      <c r="V4" s="1065"/>
      <c r="W4" s="1065"/>
      <c r="X4" s="1065"/>
      <c r="Y4" s="1066"/>
    </row>
    <row r="5" spans="1:25" s="2" customFormat="1" ht="16.5" thickBot="1">
      <c r="A5" s="295"/>
      <c r="B5" s="293"/>
      <c r="C5" s="293"/>
      <c r="D5" s="293"/>
      <c r="E5" s="383" t="s">
        <v>67</v>
      </c>
      <c r="F5" s="384" t="s">
        <v>231</v>
      </c>
      <c r="G5" s="384" t="s">
        <v>234</v>
      </c>
      <c r="H5" s="384" t="s">
        <v>237</v>
      </c>
      <c r="I5" s="385" t="s">
        <v>251</v>
      </c>
      <c r="J5" s="898" t="s">
        <v>256</v>
      </c>
      <c r="K5" s="771" t="s">
        <v>240</v>
      </c>
      <c r="L5" s="383" t="s">
        <v>67</v>
      </c>
      <c r="M5" s="384" t="s">
        <v>231</v>
      </c>
      <c r="N5" s="384" t="s">
        <v>234</v>
      </c>
      <c r="O5" s="384" t="s">
        <v>237</v>
      </c>
      <c r="P5" s="385" t="s">
        <v>251</v>
      </c>
      <c r="Q5" s="898" t="s">
        <v>256</v>
      </c>
      <c r="R5" s="771" t="s">
        <v>240</v>
      </c>
      <c r="S5" s="383" t="s">
        <v>67</v>
      </c>
      <c r="T5" s="384" t="s">
        <v>231</v>
      </c>
      <c r="U5" s="384" t="s">
        <v>234</v>
      </c>
      <c r="V5" s="384" t="s">
        <v>237</v>
      </c>
      <c r="W5" s="384" t="s">
        <v>251</v>
      </c>
      <c r="X5" s="384" t="s">
        <v>256</v>
      </c>
      <c r="Y5" s="1015" t="s">
        <v>240</v>
      </c>
    </row>
    <row r="6" spans="1:26" s="74" customFormat="1" ht="22.5" customHeight="1" thickBot="1">
      <c r="A6" s="109" t="s">
        <v>29</v>
      </c>
      <c r="B6" s="1050" t="s">
        <v>80</v>
      </c>
      <c r="C6" s="1050"/>
      <c r="D6" s="1050"/>
      <c r="E6" s="351">
        <f aca="true" t="shared" si="0" ref="E6:J6">SUM(E7:E11)</f>
        <v>264903761</v>
      </c>
      <c r="F6" s="288">
        <f t="shared" si="0"/>
        <v>265084818</v>
      </c>
      <c r="G6" s="288">
        <f t="shared" si="0"/>
        <v>264890278</v>
      </c>
      <c r="H6" s="288">
        <f t="shared" si="0"/>
        <v>268652594</v>
      </c>
      <c r="I6" s="850">
        <f t="shared" si="0"/>
        <v>267053845</v>
      </c>
      <c r="J6" s="986">
        <f t="shared" si="0"/>
        <v>0</v>
      </c>
      <c r="K6" s="739">
        <f>I6/H6</f>
        <v>0.9940490096291421</v>
      </c>
      <c r="L6" s="351">
        <f aca="true" t="shared" si="1" ref="L6:Q6">SUM(L7:L11)</f>
        <v>249255968</v>
      </c>
      <c r="M6" s="288">
        <f>SUM(M7:M11)</f>
        <v>249437025</v>
      </c>
      <c r="N6" s="288">
        <f>SUM(N7:N11)</f>
        <v>249232485</v>
      </c>
      <c r="O6" s="288">
        <f>SUM(O7:O11)</f>
        <v>252764801</v>
      </c>
      <c r="P6" s="850">
        <f t="shared" si="1"/>
        <v>251166052</v>
      </c>
      <c r="Q6" s="986">
        <f t="shared" si="1"/>
        <v>0</v>
      </c>
      <c r="R6" s="739">
        <f>P6/O6</f>
        <v>0.9936749539743075</v>
      </c>
      <c r="S6" s="351">
        <f aca="true" t="shared" si="2" ref="S6:X6">SUM(S7:S11)</f>
        <v>15647793</v>
      </c>
      <c r="T6" s="288">
        <f t="shared" si="2"/>
        <v>15647793</v>
      </c>
      <c r="U6" s="288">
        <f>SUM(U7:U11)</f>
        <v>15657793</v>
      </c>
      <c r="V6" s="288">
        <f>SUM(V7:V11)</f>
        <v>15887793</v>
      </c>
      <c r="W6" s="288">
        <f>SUM(W7:W11)</f>
        <v>15887793</v>
      </c>
      <c r="X6" s="288">
        <f t="shared" si="2"/>
        <v>0</v>
      </c>
      <c r="Y6" s="766">
        <f>W6/V6</f>
        <v>1</v>
      </c>
      <c r="Z6" s="986">
        <f>SUM(Z7:Z11)</f>
        <v>0</v>
      </c>
    </row>
    <row r="7" spans="1:26" s="5" customFormat="1" ht="22.5" customHeight="1">
      <c r="A7" s="108"/>
      <c r="B7" s="113" t="s">
        <v>37</v>
      </c>
      <c r="C7" s="113"/>
      <c r="D7" s="342" t="s">
        <v>0</v>
      </c>
      <c r="E7" s="352">
        <v>43693300</v>
      </c>
      <c r="F7" s="290">
        <v>43693300</v>
      </c>
      <c r="G7" s="290">
        <v>43693300</v>
      </c>
      <c r="H7" s="290">
        <v>43693300</v>
      </c>
      <c r="I7" s="851">
        <v>43693300</v>
      </c>
      <c r="J7" s="899"/>
      <c r="K7" s="740"/>
      <c r="L7" s="352">
        <f aca="true" t="shared" si="3" ref="L7:P8">E7</f>
        <v>43693300</v>
      </c>
      <c r="M7" s="290">
        <f t="shared" si="3"/>
        <v>43693300</v>
      </c>
      <c r="N7" s="290">
        <f t="shared" si="3"/>
        <v>43693300</v>
      </c>
      <c r="O7" s="290">
        <f t="shared" si="3"/>
        <v>43693300</v>
      </c>
      <c r="P7" s="851">
        <f t="shared" si="3"/>
        <v>43693300</v>
      </c>
      <c r="Q7" s="899"/>
      <c r="R7" s="740"/>
      <c r="S7" s="352">
        <v>0</v>
      </c>
      <c r="T7" s="290">
        <v>0</v>
      </c>
      <c r="U7" s="290">
        <v>0</v>
      </c>
      <c r="V7" s="290">
        <v>0</v>
      </c>
      <c r="W7" s="290">
        <v>0</v>
      </c>
      <c r="X7" s="290"/>
      <c r="Y7" s="772"/>
      <c r="Z7" s="899"/>
    </row>
    <row r="8" spans="1:26" s="5" customFormat="1" ht="22.5" customHeight="1">
      <c r="A8" s="91"/>
      <c r="B8" s="100" t="s">
        <v>38</v>
      </c>
      <c r="C8" s="100"/>
      <c r="D8" s="343" t="s">
        <v>81</v>
      </c>
      <c r="E8" s="386">
        <v>10704481</v>
      </c>
      <c r="F8" s="387">
        <v>10704481</v>
      </c>
      <c r="G8" s="387">
        <v>10704481</v>
      </c>
      <c r="H8" s="387">
        <f>10704481+26862</f>
        <v>10731343</v>
      </c>
      <c r="I8" s="991">
        <f>10704481+26862</f>
        <v>10731343</v>
      </c>
      <c r="J8" s="900"/>
      <c r="K8" s="874"/>
      <c r="L8" s="352">
        <f t="shared" si="3"/>
        <v>10704481</v>
      </c>
      <c r="M8" s="290">
        <f t="shared" si="3"/>
        <v>10704481</v>
      </c>
      <c r="N8" s="290">
        <f t="shared" si="3"/>
        <v>10704481</v>
      </c>
      <c r="O8" s="290">
        <f t="shared" si="3"/>
        <v>10731343</v>
      </c>
      <c r="P8" s="851">
        <f t="shared" si="3"/>
        <v>10731343</v>
      </c>
      <c r="Q8" s="900"/>
      <c r="R8" s="874"/>
      <c r="S8" s="386">
        <v>0</v>
      </c>
      <c r="T8" s="387">
        <v>0</v>
      </c>
      <c r="U8" s="387">
        <v>0</v>
      </c>
      <c r="V8" s="387">
        <v>0</v>
      </c>
      <c r="W8" s="387">
        <v>0</v>
      </c>
      <c r="X8" s="387"/>
      <c r="Y8" s="1016"/>
      <c r="Z8" s="1013"/>
    </row>
    <row r="9" spans="1:26" s="5" customFormat="1" ht="22.5" customHeight="1">
      <c r="A9" s="91"/>
      <c r="B9" s="100" t="s">
        <v>39</v>
      </c>
      <c r="C9" s="100"/>
      <c r="D9" s="343" t="s">
        <v>82</v>
      </c>
      <c r="E9" s="386">
        <v>62430894</v>
      </c>
      <c r="F9" s="387">
        <v>62430894</v>
      </c>
      <c r="G9" s="387">
        <f>62430894-204540</f>
        <v>62226354</v>
      </c>
      <c r="H9" s="387">
        <f>62430894-204540+1470656</f>
        <v>63697010</v>
      </c>
      <c r="I9" s="991">
        <f>62430894-204540+1470656+1799901+234580</f>
        <v>65731491</v>
      </c>
      <c r="J9" s="900"/>
      <c r="K9" s="874"/>
      <c r="L9" s="386">
        <f>'7.sz.m.Dologi kiadás (3)'!K21</f>
        <v>60589170</v>
      </c>
      <c r="M9" s="387">
        <f>'7.sz.m.Dologi kiadás (3)'!L21</f>
        <v>60589170</v>
      </c>
      <c r="N9" s="387">
        <f>'7.sz.m.Dologi kiadás (3)'!M21</f>
        <v>60384630</v>
      </c>
      <c r="O9" s="387">
        <f>'7.sz.m.Dologi kiadás (3)'!N21</f>
        <v>61855286</v>
      </c>
      <c r="P9" s="991">
        <f>'7.sz.m.Dologi kiadás (3)'!O21</f>
        <v>63889767</v>
      </c>
      <c r="Q9" s="900"/>
      <c r="R9" s="874"/>
      <c r="S9" s="386">
        <f>'7.sz.m.Dologi kiadás (3)'!R21</f>
        <v>1841724</v>
      </c>
      <c r="T9" s="387">
        <f>'7.sz.m.Dologi kiadás (3)'!S21</f>
        <v>1841724</v>
      </c>
      <c r="U9" s="387">
        <f>'7.sz.m.Dologi kiadás (3)'!T21</f>
        <v>1841724</v>
      </c>
      <c r="V9" s="387">
        <f>'7.sz.m.Dologi kiadás (3)'!U21</f>
        <v>1841724</v>
      </c>
      <c r="W9" s="387">
        <f>'7.sz.m.Dologi kiadás (3)'!V21</f>
        <v>1841724</v>
      </c>
      <c r="X9" s="387"/>
      <c r="Y9" s="1016">
        <f>W9/V9</f>
        <v>1</v>
      </c>
      <c r="Z9" s="1013"/>
    </row>
    <row r="10" spans="1:26" s="5" customFormat="1" ht="22.5" customHeight="1">
      <c r="A10" s="91"/>
      <c r="B10" s="100" t="s">
        <v>50</v>
      </c>
      <c r="C10" s="100"/>
      <c r="D10" s="343" t="s">
        <v>83</v>
      </c>
      <c r="E10" s="347">
        <v>4774766</v>
      </c>
      <c r="F10" s="287">
        <v>4774766</v>
      </c>
      <c r="G10" s="287">
        <v>4774766</v>
      </c>
      <c r="H10" s="287">
        <v>4774766</v>
      </c>
      <c r="I10" s="992">
        <f>4774766-22230</f>
        <v>4752536</v>
      </c>
      <c r="J10" s="901"/>
      <c r="K10" s="875"/>
      <c r="L10" s="347">
        <f>'8.sz.m.szociális kiadások (2)'!C16+'8.sz.m.szociális kiadások (2)'!C18</f>
        <v>2024766</v>
      </c>
      <c r="M10" s="287">
        <f>'8.sz.m.szociális kiadások (2)'!D16+'8.sz.m.szociális kiadások (2)'!D18</f>
        <v>2024766</v>
      </c>
      <c r="N10" s="287">
        <f>'8.sz.m.szociális kiadások (2)'!E16+'8.sz.m.szociális kiadások (2)'!E18</f>
        <v>2024766</v>
      </c>
      <c r="O10" s="287">
        <f>'8.sz.m.szociális kiadások (2)'!F16+'8.sz.m.szociális kiadások (2)'!F18</f>
        <v>2024766</v>
      </c>
      <c r="P10" s="992">
        <f>'8.sz.m.szociális kiadások (2)'!G16+'8.sz.m.szociális kiadások (2)'!G18</f>
        <v>2002536</v>
      </c>
      <c r="Q10" s="901"/>
      <c r="R10" s="875"/>
      <c r="S10" s="347">
        <f>SUM('8.sz.m.szociális kiadások (2)'!C10:C15)</f>
        <v>2750000</v>
      </c>
      <c r="T10" s="287">
        <f>SUM('8.sz.m.szociális kiadások (2)'!D10:D15)</f>
        <v>2750000</v>
      </c>
      <c r="U10" s="287">
        <f>SUM('8.sz.m.szociális kiadások (2)'!E10:E15)</f>
        <v>2750000</v>
      </c>
      <c r="V10" s="287">
        <f>SUM('8.sz.m.szociális kiadások (2)'!F10:F15)</f>
        <v>2750000</v>
      </c>
      <c r="W10" s="287">
        <f>SUM('8.sz.m.szociális kiadások (2)'!G10:G15)</f>
        <v>2750000</v>
      </c>
      <c r="X10" s="287"/>
      <c r="Y10" s="769">
        <f>W10/V10</f>
        <v>1</v>
      </c>
      <c r="Z10" s="899"/>
    </row>
    <row r="11" spans="1:26" s="5" customFormat="1" ht="22.5" customHeight="1">
      <c r="A11" s="91"/>
      <c r="B11" s="100" t="s">
        <v>51</v>
      </c>
      <c r="C11" s="100"/>
      <c r="D11" s="344" t="s">
        <v>85</v>
      </c>
      <c r="E11" s="386">
        <f aca="true" t="shared" si="4" ref="E11:J11">SUM(E12:E16)</f>
        <v>143300320</v>
      </c>
      <c r="F11" s="387">
        <f t="shared" si="4"/>
        <v>143481377</v>
      </c>
      <c r="G11" s="387">
        <f t="shared" si="4"/>
        <v>143491377</v>
      </c>
      <c r="H11" s="387">
        <f t="shared" si="4"/>
        <v>145756175</v>
      </c>
      <c r="I11" s="991">
        <f t="shared" si="4"/>
        <v>142145175</v>
      </c>
      <c r="J11" s="900">
        <f t="shared" si="4"/>
        <v>0</v>
      </c>
      <c r="K11" s="874">
        <f>I11/H11</f>
        <v>0.9752257494408041</v>
      </c>
      <c r="L11" s="386">
        <f aca="true" t="shared" si="5" ref="L11:Q11">E11-S11</f>
        <v>132244251</v>
      </c>
      <c r="M11" s="387">
        <f t="shared" si="5"/>
        <v>132425308</v>
      </c>
      <c r="N11" s="387">
        <f t="shared" si="5"/>
        <v>132425308</v>
      </c>
      <c r="O11" s="387">
        <f t="shared" si="5"/>
        <v>134460106</v>
      </c>
      <c r="P11" s="991">
        <f t="shared" si="5"/>
        <v>130849106</v>
      </c>
      <c r="Q11" s="900">
        <f t="shared" si="5"/>
        <v>0</v>
      </c>
      <c r="R11" s="874">
        <f>P11/O11</f>
        <v>0.9731444507413969</v>
      </c>
      <c r="S11" s="386">
        <f>SUM(S12:S16)</f>
        <v>11056069</v>
      </c>
      <c r="T11" s="387">
        <f>SUM(T12:T16)</f>
        <v>11056069</v>
      </c>
      <c r="U11" s="387">
        <f>SUM(U12:U16)</f>
        <v>11066069</v>
      </c>
      <c r="V11" s="387">
        <f>SUM(V12:V16)</f>
        <v>11296069</v>
      </c>
      <c r="W11" s="387">
        <f>SUM(W12:W16)</f>
        <v>11296069</v>
      </c>
      <c r="X11" s="387">
        <f>SUM(X12:X16)</f>
        <v>0</v>
      </c>
      <c r="Y11" s="1016">
        <f>W11/V11</f>
        <v>1</v>
      </c>
      <c r="Z11" s="900"/>
    </row>
    <row r="12" spans="1:26" s="5" customFormat="1" ht="22.5" customHeight="1">
      <c r="A12" s="91"/>
      <c r="B12" s="123"/>
      <c r="C12" s="100" t="s">
        <v>84</v>
      </c>
      <c r="D12" s="345" t="s">
        <v>284</v>
      </c>
      <c r="E12" s="347">
        <v>0</v>
      </c>
      <c r="F12" s="287">
        <v>181057</v>
      </c>
      <c r="G12" s="287">
        <v>181057</v>
      </c>
      <c r="H12" s="287">
        <f>181057+2018142+16656</f>
        <v>2215855</v>
      </c>
      <c r="I12" s="992">
        <f>181057+2018142+16656</f>
        <v>2215855</v>
      </c>
      <c r="J12" s="901"/>
      <c r="K12" s="875"/>
      <c r="L12" s="352">
        <f>E12</f>
        <v>0</v>
      </c>
      <c r="M12" s="290">
        <f>F12</f>
        <v>181057</v>
      </c>
      <c r="N12" s="290">
        <f>G12</f>
        <v>181057</v>
      </c>
      <c r="O12" s="290">
        <f>H12</f>
        <v>2215855</v>
      </c>
      <c r="P12" s="851">
        <f>I12</f>
        <v>2215855</v>
      </c>
      <c r="Q12" s="901"/>
      <c r="R12" s="875"/>
      <c r="S12" s="347">
        <v>0</v>
      </c>
      <c r="T12" s="287">
        <v>0</v>
      </c>
      <c r="U12" s="287">
        <v>0</v>
      </c>
      <c r="V12" s="287">
        <v>0</v>
      </c>
      <c r="W12" s="287">
        <v>0</v>
      </c>
      <c r="X12" s="287"/>
      <c r="Y12" s="769"/>
      <c r="Z12" s="899"/>
    </row>
    <row r="13" spans="1:26" s="5" customFormat="1" ht="31.5" customHeight="1">
      <c r="A13" s="91"/>
      <c r="B13" s="100"/>
      <c r="C13" s="100" t="s">
        <v>86</v>
      </c>
      <c r="D13" s="343" t="s">
        <v>285</v>
      </c>
      <c r="E13" s="347">
        <v>10018325</v>
      </c>
      <c r="F13" s="287">
        <v>10018325</v>
      </c>
      <c r="G13" s="287">
        <f>10018325+10000</f>
        <v>10028325</v>
      </c>
      <c r="H13" s="287">
        <f>10018325+10000+30000+200000</f>
        <v>10258325</v>
      </c>
      <c r="I13" s="992">
        <f>10018325+10000+30000+200000</f>
        <v>10258325</v>
      </c>
      <c r="J13" s="901"/>
      <c r="K13" s="875"/>
      <c r="L13" s="347">
        <f>'9.sz.m.átadott pe (3)'!B58</f>
        <v>0</v>
      </c>
      <c r="M13" s="287">
        <f>'9.sz.m.átadott pe (3)'!C58</f>
        <v>0</v>
      </c>
      <c r="N13" s="287">
        <f>'9.sz.m.átadott pe (3)'!D58</f>
        <v>0</v>
      </c>
      <c r="O13" s="287">
        <f>'9.sz.m.átadott pe (3)'!E58</f>
        <v>0</v>
      </c>
      <c r="P13" s="992">
        <f>'9.sz.m.átadott pe (3)'!F58</f>
        <v>0</v>
      </c>
      <c r="Q13" s="901"/>
      <c r="R13" s="875"/>
      <c r="S13" s="347">
        <f>'9.sz.m.átadott pe (3)'!I58</f>
        <v>10018325</v>
      </c>
      <c r="T13" s="287">
        <f>'9.sz.m.átadott pe (3)'!J58</f>
        <v>10018325</v>
      </c>
      <c r="U13" s="287">
        <f>'9.sz.m.átadott pe (3)'!K58</f>
        <v>10028325</v>
      </c>
      <c r="V13" s="287">
        <f>'9.sz.m.átadott pe (3)'!L58</f>
        <v>10258325</v>
      </c>
      <c r="W13" s="287">
        <f>'9.sz.m.átadott pe (3)'!M58</f>
        <v>10258325</v>
      </c>
      <c r="X13" s="287"/>
      <c r="Y13" s="769">
        <f>W13/V13</f>
        <v>1</v>
      </c>
      <c r="Z13" s="899"/>
    </row>
    <row r="14" spans="1:26" s="5" customFormat="1" ht="36.75" customHeight="1" thickBot="1">
      <c r="A14" s="119"/>
      <c r="B14" s="120"/>
      <c r="C14" s="100" t="s">
        <v>87</v>
      </c>
      <c r="D14" s="343" t="s">
        <v>286</v>
      </c>
      <c r="E14" s="347">
        <v>133281995</v>
      </c>
      <c r="F14" s="287">
        <f>133281995</f>
        <v>133281995</v>
      </c>
      <c r="G14" s="287">
        <f>133281995</f>
        <v>133281995</v>
      </c>
      <c r="H14" s="287">
        <f>133281995</f>
        <v>133281995</v>
      </c>
      <c r="I14" s="992">
        <f>133281995-3611000</f>
        <v>129670995</v>
      </c>
      <c r="J14" s="901"/>
      <c r="K14" s="875"/>
      <c r="L14" s="347">
        <f>'9.sz.m.átadott pe (3)'!B85</f>
        <v>132244251</v>
      </c>
      <c r="M14" s="287">
        <f>'9.sz.m.átadott pe (3)'!C85</f>
        <v>132244251</v>
      </c>
      <c r="N14" s="287">
        <f>'9.sz.m.átadott pe (3)'!D85</f>
        <v>132244251</v>
      </c>
      <c r="O14" s="287">
        <f>'9.sz.m.átadott pe (3)'!E85</f>
        <v>132244251</v>
      </c>
      <c r="P14" s="992">
        <f>'9.sz.m.átadott pe (3)'!F85</f>
        <v>128633251</v>
      </c>
      <c r="Q14" s="901"/>
      <c r="R14" s="875"/>
      <c r="S14" s="347">
        <f>'9.sz.m.átadott pe (3)'!I85</f>
        <v>1037744</v>
      </c>
      <c r="T14" s="287">
        <f>'9.sz.m.átadott pe (3)'!J85</f>
        <v>1037744</v>
      </c>
      <c r="U14" s="287">
        <f>'9.sz.m.átadott pe (3)'!K85</f>
        <v>1037744</v>
      </c>
      <c r="V14" s="287">
        <f>'9.sz.m.átadott pe (3)'!L85</f>
        <v>1037744</v>
      </c>
      <c r="W14" s="287">
        <f>'9.sz.m.átadott pe (3)'!M85</f>
        <v>1037744</v>
      </c>
      <c r="X14" s="287"/>
      <c r="Y14" s="769">
        <f>W14/V14</f>
        <v>1</v>
      </c>
      <c r="Z14" s="899"/>
    </row>
    <row r="15" spans="1:26" s="5" customFormat="1" ht="22.5" customHeight="1" hidden="1">
      <c r="A15" s="91"/>
      <c r="B15" s="100"/>
      <c r="C15" s="100" t="s">
        <v>90</v>
      </c>
      <c r="D15" s="343" t="s">
        <v>92</v>
      </c>
      <c r="E15" s="386"/>
      <c r="F15" s="387"/>
      <c r="G15" s="387"/>
      <c r="H15" s="387"/>
      <c r="I15" s="991"/>
      <c r="J15" s="900"/>
      <c r="K15" s="874" t="e">
        <f>I15/H15</f>
        <v>#DIV/0!</v>
      </c>
      <c r="L15" s="386"/>
      <c r="M15" s="387"/>
      <c r="N15" s="387"/>
      <c r="O15" s="387"/>
      <c r="P15" s="991"/>
      <c r="Q15" s="900"/>
      <c r="R15" s="874" t="e">
        <f>P15/O15</f>
        <v>#DIV/0!</v>
      </c>
      <c r="S15" s="386"/>
      <c r="T15" s="387"/>
      <c r="U15" s="387"/>
      <c r="V15" s="387"/>
      <c r="W15" s="387"/>
      <c r="X15" s="387"/>
      <c r="Y15" s="1016" t="e">
        <f>W15/V15</f>
        <v>#DIV/0!</v>
      </c>
      <c r="Z15" s="1013"/>
    </row>
    <row r="16" spans="1:26" s="5" customFormat="1" ht="22.5" customHeight="1" hidden="1" thickBot="1">
      <c r="A16" s="127"/>
      <c r="B16" s="114"/>
      <c r="C16" s="114" t="s">
        <v>91</v>
      </c>
      <c r="D16" s="346" t="s">
        <v>93</v>
      </c>
      <c r="E16" s="357"/>
      <c r="F16" s="130"/>
      <c r="G16" s="130"/>
      <c r="H16" s="130"/>
      <c r="I16" s="855"/>
      <c r="J16" s="902"/>
      <c r="K16" s="743" t="e">
        <f>I16/H16</f>
        <v>#DIV/0!</v>
      </c>
      <c r="L16" s="357"/>
      <c r="M16" s="130"/>
      <c r="N16" s="130"/>
      <c r="O16" s="130"/>
      <c r="P16" s="855"/>
      <c r="Q16" s="902"/>
      <c r="R16" s="743" t="e">
        <f>P16/O16</f>
        <v>#DIV/0!</v>
      </c>
      <c r="S16" s="357"/>
      <c r="T16" s="130"/>
      <c r="U16" s="130"/>
      <c r="V16" s="130"/>
      <c r="W16" s="130"/>
      <c r="X16" s="130"/>
      <c r="Y16" s="776" t="e">
        <f>W16/V16</f>
        <v>#DIV/0!</v>
      </c>
      <c r="Z16" s="903"/>
    </row>
    <row r="17" spans="1:26" s="5" customFormat="1" ht="22.5" customHeight="1" thickBot="1">
      <c r="A17" s="109" t="s">
        <v>30</v>
      </c>
      <c r="B17" s="1050" t="s">
        <v>94</v>
      </c>
      <c r="C17" s="1050"/>
      <c r="D17" s="1050"/>
      <c r="E17" s="353">
        <f aca="true" t="shared" si="6" ref="E17:J17">SUM(E18:E20)</f>
        <v>34050000</v>
      </c>
      <c r="F17" s="73">
        <f t="shared" si="6"/>
        <v>34050000</v>
      </c>
      <c r="G17" s="73">
        <f t="shared" si="6"/>
        <v>32730401</v>
      </c>
      <c r="H17" s="73">
        <f t="shared" si="6"/>
        <v>84002233</v>
      </c>
      <c r="I17" s="852">
        <f t="shared" si="6"/>
        <v>84700421</v>
      </c>
      <c r="J17" s="987">
        <f t="shared" si="6"/>
        <v>0</v>
      </c>
      <c r="K17" s="741">
        <f>I17/H17</f>
        <v>1.0083115409562982</v>
      </c>
      <c r="L17" s="353">
        <f>SUM(L18:L20)</f>
        <v>29050000</v>
      </c>
      <c r="M17" s="73">
        <f>SUM(M18:M20)</f>
        <v>29050000</v>
      </c>
      <c r="N17" s="73">
        <f>SUM(N18:N20)</f>
        <v>27730401</v>
      </c>
      <c r="O17" s="73">
        <f>SUM(O18:O20)</f>
        <v>77502233</v>
      </c>
      <c r="P17" s="852">
        <f>SUM(P18:P20)</f>
        <v>78200421</v>
      </c>
      <c r="Q17" s="987">
        <f>SUM(Q18:Q20)</f>
        <v>0</v>
      </c>
      <c r="R17" s="741">
        <f>P17/O17</f>
        <v>1.0090086178549205</v>
      </c>
      <c r="S17" s="353">
        <f>SUM(S18:S20)</f>
        <v>5000000</v>
      </c>
      <c r="T17" s="73">
        <f>SUM(T18:T20)</f>
        <v>5000000</v>
      </c>
      <c r="U17" s="73">
        <f>SUM(U18:U20)</f>
        <v>5000000</v>
      </c>
      <c r="V17" s="73">
        <f>SUM(V18:V20)</f>
        <v>6500000</v>
      </c>
      <c r="W17" s="73">
        <f>SUM(W18:W20)</f>
        <v>6500000</v>
      </c>
      <c r="X17" s="73">
        <f>SUM(X18:X20)</f>
        <v>0</v>
      </c>
      <c r="Y17" s="770">
        <f>W17/V17</f>
        <v>1</v>
      </c>
      <c r="Z17" s="987">
        <f>SUM(Z18:Z20)</f>
        <v>0</v>
      </c>
    </row>
    <row r="18" spans="1:26" s="5" customFormat="1" ht="22.5" customHeight="1">
      <c r="A18" s="108"/>
      <c r="B18" s="113" t="s">
        <v>40</v>
      </c>
      <c r="C18" s="1057" t="s">
        <v>95</v>
      </c>
      <c r="D18" s="1057"/>
      <c r="E18" s="352">
        <v>50000</v>
      </c>
      <c r="F18" s="290">
        <v>50000</v>
      </c>
      <c r="G18" s="290">
        <f>50000+2276220</f>
        <v>2326220</v>
      </c>
      <c r="H18" s="290">
        <f>50000+2276220+2929430</f>
        <v>5255650</v>
      </c>
      <c r="I18" s="851">
        <f>50000+2276220+2929430+350520</f>
        <v>5606170</v>
      </c>
      <c r="J18" s="899"/>
      <c r="K18" s="740"/>
      <c r="L18" s="352">
        <f>'6.a.sz.m.fejlesztés (3)'!D16</f>
        <v>50000</v>
      </c>
      <c r="M18" s="290">
        <f>'6.a.sz.m.fejlesztés (3)'!E16</f>
        <v>50000</v>
      </c>
      <c r="N18" s="290">
        <f>'6.a.sz.m.fejlesztés (3)'!F16</f>
        <v>2326220</v>
      </c>
      <c r="O18" s="290">
        <f>'6.a.sz.m.fejlesztés (3)'!G16</f>
        <v>5255650</v>
      </c>
      <c r="P18" s="851">
        <f>'6.a.sz.m.fejlesztés (3)'!H16</f>
        <v>5606170</v>
      </c>
      <c r="Q18" s="899"/>
      <c r="R18" s="740">
        <f>P18/O18</f>
        <v>1.0666939389038463</v>
      </c>
      <c r="S18" s="352">
        <v>0</v>
      </c>
      <c r="T18" s="290">
        <v>0</v>
      </c>
      <c r="U18" s="290">
        <v>0</v>
      </c>
      <c r="V18" s="290">
        <v>0</v>
      </c>
      <c r="W18" s="290">
        <v>0</v>
      </c>
      <c r="X18" s="290"/>
      <c r="Y18" s="772"/>
      <c r="Z18" s="899">
        <v>0</v>
      </c>
    </row>
    <row r="19" spans="1:26" s="5" customFormat="1" ht="22.5" customHeight="1">
      <c r="A19" s="91"/>
      <c r="B19" s="100" t="s">
        <v>41</v>
      </c>
      <c r="C19" s="1048" t="s">
        <v>96</v>
      </c>
      <c r="D19" s="1048"/>
      <c r="E19" s="347">
        <v>29000000</v>
      </c>
      <c r="F19" s="287">
        <v>29000000</v>
      </c>
      <c r="G19" s="287">
        <f>29000000-3595819</f>
        <v>25404181</v>
      </c>
      <c r="H19" s="287">
        <f>29000000-3595819+459143+1524000</f>
        <v>27387324</v>
      </c>
      <c r="I19" s="992">
        <f>29000000-3595819+459143+1524000+347668</f>
        <v>27734992</v>
      </c>
      <c r="J19" s="901"/>
      <c r="K19" s="875"/>
      <c r="L19" s="347">
        <f>'6.a.sz.m.fejlesztés (3)'!D32</f>
        <v>29000000</v>
      </c>
      <c r="M19" s="287">
        <f>'6.a.sz.m.fejlesztés (3)'!E32</f>
        <v>29000000</v>
      </c>
      <c r="N19" s="287">
        <f>'6.a.sz.m.fejlesztés (3)'!F32</f>
        <v>25404181</v>
      </c>
      <c r="O19" s="287">
        <f>'6.a.sz.m.fejlesztés (3)'!G32</f>
        <v>27387324</v>
      </c>
      <c r="P19" s="992">
        <f>'6.a.sz.m.fejlesztés (3)'!H32</f>
        <v>27734992</v>
      </c>
      <c r="Q19" s="901"/>
      <c r="R19" s="875">
        <f>P19/O19</f>
        <v>1.0126944859600011</v>
      </c>
      <c r="S19" s="347">
        <v>0</v>
      </c>
      <c r="T19" s="287">
        <v>0</v>
      </c>
      <c r="U19" s="287">
        <v>0</v>
      </c>
      <c r="V19" s="287">
        <v>0</v>
      </c>
      <c r="W19" s="287">
        <v>0</v>
      </c>
      <c r="X19" s="287"/>
      <c r="Y19" s="769"/>
      <c r="Z19" s="901">
        <v>0</v>
      </c>
    </row>
    <row r="20" spans="1:26" s="5" customFormat="1" ht="22.5" customHeight="1">
      <c r="A20" s="121"/>
      <c r="B20" s="100" t="s">
        <v>42</v>
      </c>
      <c r="C20" s="1061" t="s">
        <v>97</v>
      </c>
      <c r="D20" s="1061"/>
      <c r="E20" s="386">
        <f aca="true" t="shared" si="7" ref="E20:S20">SUM(E21:E24)</f>
        <v>5000000</v>
      </c>
      <c r="F20" s="387">
        <f>SUM(F21:F24)</f>
        <v>5000000</v>
      </c>
      <c r="G20" s="387">
        <f>SUM(G21:G24)</f>
        <v>5000000</v>
      </c>
      <c r="H20" s="387">
        <f>SUM(H21:H24)</f>
        <v>51359259</v>
      </c>
      <c r="I20" s="991">
        <f>SUM(I21:I24)</f>
        <v>51359259</v>
      </c>
      <c r="J20" s="900">
        <f t="shared" si="7"/>
        <v>0</v>
      </c>
      <c r="K20" s="386">
        <f t="shared" si="7"/>
        <v>0</v>
      </c>
      <c r="L20" s="386">
        <f t="shared" si="7"/>
        <v>0</v>
      </c>
      <c r="M20" s="387">
        <f>SUM(M21:M24)</f>
        <v>0</v>
      </c>
      <c r="N20" s="387">
        <f>SUM(N21:N24)</f>
        <v>0</v>
      </c>
      <c r="O20" s="387">
        <f>SUM(O21:O24)</f>
        <v>44859259</v>
      </c>
      <c r="P20" s="991">
        <f>SUM(P21:P24)</f>
        <v>44859259</v>
      </c>
      <c r="Q20" s="900">
        <f t="shared" si="7"/>
        <v>0</v>
      </c>
      <c r="R20" s="386">
        <f t="shared" si="7"/>
        <v>0</v>
      </c>
      <c r="S20" s="386">
        <f t="shared" si="7"/>
        <v>5000000</v>
      </c>
      <c r="T20" s="387">
        <f>SUM(T21:T24)</f>
        <v>5000000</v>
      </c>
      <c r="U20" s="387">
        <f>SUM(U21:U24)</f>
        <v>5000000</v>
      </c>
      <c r="V20" s="387">
        <f>SUM(V21:V24)</f>
        <v>6500000</v>
      </c>
      <c r="W20" s="387">
        <f>SUM(W21:W24)</f>
        <v>6500000</v>
      </c>
      <c r="X20" s="387">
        <f>SUM(X21:X24)</f>
        <v>0</v>
      </c>
      <c r="Y20" s="1016">
        <f>W20/V20</f>
        <v>1</v>
      </c>
      <c r="Z20" s="900"/>
    </row>
    <row r="21" spans="1:26" s="5" customFormat="1" ht="22.5" customHeight="1">
      <c r="A21" s="97"/>
      <c r="B21" s="101"/>
      <c r="C21" s="101" t="s">
        <v>98</v>
      </c>
      <c r="D21" s="246" t="s">
        <v>88</v>
      </c>
      <c r="E21" s="347">
        <v>5000000</v>
      </c>
      <c r="F21" s="287">
        <v>5000000</v>
      </c>
      <c r="G21" s="287">
        <v>5000000</v>
      </c>
      <c r="H21" s="287">
        <v>5000000</v>
      </c>
      <c r="I21" s="992">
        <v>5000000</v>
      </c>
      <c r="J21" s="901"/>
      <c r="K21" s="875"/>
      <c r="L21" s="386">
        <f>E21-S21</f>
        <v>0</v>
      </c>
      <c r="M21" s="387">
        <f>F21-T21</f>
        <v>0</v>
      </c>
      <c r="N21" s="387">
        <f>G21-U21</f>
        <v>0</v>
      </c>
      <c r="O21" s="387">
        <f>H21-V21</f>
        <v>0</v>
      </c>
      <c r="P21" s="991">
        <f>I21-W21</f>
        <v>0</v>
      </c>
      <c r="Q21" s="901"/>
      <c r="R21" s="875"/>
      <c r="S21" s="347">
        <f>'9.sz.m.átadott pe (3)'!U58</f>
        <v>5000000</v>
      </c>
      <c r="T21" s="287">
        <f>'9.sz.m.átadott pe (3)'!V58</f>
        <v>5000000</v>
      </c>
      <c r="U21" s="287">
        <f>'9.sz.m.átadott pe (3)'!W58</f>
        <v>5000000</v>
      </c>
      <c r="V21" s="287">
        <f>'9.sz.m.átadott pe (3)'!X58</f>
        <v>5000000</v>
      </c>
      <c r="W21" s="287">
        <f>'9.sz.m.átadott pe (3)'!Y58</f>
        <v>5000000</v>
      </c>
      <c r="X21" s="287"/>
      <c r="Y21" s="769">
        <f>W21/V21</f>
        <v>1</v>
      </c>
      <c r="Z21" s="899"/>
    </row>
    <row r="22" spans="1:26" s="5" customFormat="1" ht="22.5" customHeight="1">
      <c r="A22" s="97"/>
      <c r="B22" s="101"/>
      <c r="C22" s="101" t="s">
        <v>99</v>
      </c>
      <c r="D22" s="246" t="s">
        <v>89</v>
      </c>
      <c r="E22" s="347">
        <v>0</v>
      </c>
      <c r="F22" s="287">
        <v>0</v>
      </c>
      <c r="G22" s="287">
        <v>0</v>
      </c>
      <c r="H22" s="287">
        <v>44859259</v>
      </c>
      <c r="I22" s="992">
        <v>44859259</v>
      </c>
      <c r="J22" s="901"/>
      <c r="K22" s="875"/>
      <c r="L22" s="347">
        <v>0</v>
      </c>
      <c r="M22" s="287">
        <v>0</v>
      </c>
      <c r="N22" s="287">
        <v>0</v>
      </c>
      <c r="O22" s="387">
        <f>H22-V22</f>
        <v>44859259</v>
      </c>
      <c r="P22" s="991">
        <f>I22-W22</f>
        <v>44859259</v>
      </c>
      <c r="Q22" s="901">
        <v>0</v>
      </c>
      <c r="R22" s="875"/>
      <c r="S22" s="347">
        <v>0</v>
      </c>
      <c r="T22" s="287">
        <v>0</v>
      </c>
      <c r="U22" s="287">
        <v>0</v>
      </c>
      <c r="V22" s="287">
        <v>0</v>
      </c>
      <c r="W22" s="287">
        <v>0</v>
      </c>
      <c r="X22" s="287">
        <v>0</v>
      </c>
      <c r="Y22" s="769"/>
      <c r="Z22" s="901">
        <v>0</v>
      </c>
    </row>
    <row r="23" spans="1:26" s="5" customFormat="1" ht="36.75" customHeight="1">
      <c r="A23" s="121"/>
      <c r="B23" s="246"/>
      <c r="C23" s="101" t="s">
        <v>100</v>
      </c>
      <c r="D23" s="246" t="s">
        <v>573</v>
      </c>
      <c r="E23" s="386">
        <v>0</v>
      </c>
      <c r="F23" s="387">
        <v>0</v>
      </c>
      <c r="G23" s="387">
        <v>0</v>
      </c>
      <c r="H23" s="387">
        <v>1500000</v>
      </c>
      <c r="I23" s="991">
        <v>1500000</v>
      </c>
      <c r="J23" s="900"/>
      <c r="K23" s="874"/>
      <c r="L23" s="386">
        <v>0</v>
      </c>
      <c r="M23" s="387">
        <v>0</v>
      </c>
      <c r="N23" s="387">
        <v>0</v>
      </c>
      <c r="O23" s="387">
        <f>H23-V23</f>
        <v>0</v>
      </c>
      <c r="P23" s="991">
        <f>I23-W23</f>
        <v>0</v>
      </c>
      <c r="Q23" s="900">
        <v>0</v>
      </c>
      <c r="R23" s="874"/>
      <c r="S23" s="386">
        <v>0</v>
      </c>
      <c r="T23" s="387">
        <v>0</v>
      </c>
      <c r="U23" s="387">
        <v>0</v>
      </c>
      <c r="V23" s="387">
        <f>'9.sz.m.átadott pe (3)'!X92</f>
        <v>1500000</v>
      </c>
      <c r="W23" s="387">
        <f>'9.sz.m.átadott pe (3)'!Y92</f>
        <v>1500000</v>
      </c>
      <c r="X23" s="387">
        <v>0</v>
      </c>
      <c r="Y23" s="1016"/>
      <c r="Z23" s="900">
        <v>0</v>
      </c>
    </row>
    <row r="24" spans="1:26" s="5" customFormat="1" ht="22.5" customHeight="1" thickBot="1">
      <c r="A24" s="270"/>
      <c r="B24" s="271"/>
      <c r="C24" s="272" t="s">
        <v>210</v>
      </c>
      <c r="D24" s="271" t="s">
        <v>211</v>
      </c>
      <c r="E24" s="389">
        <v>0</v>
      </c>
      <c r="F24" s="388">
        <v>0</v>
      </c>
      <c r="G24" s="388">
        <v>0</v>
      </c>
      <c r="H24" s="388">
        <v>0</v>
      </c>
      <c r="I24" s="993">
        <v>0</v>
      </c>
      <c r="J24" s="903"/>
      <c r="K24" s="876"/>
      <c r="L24" s="389">
        <v>0</v>
      </c>
      <c r="M24" s="388">
        <v>0</v>
      </c>
      <c r="N24" s="388">
        <v>0</v>
      </c>
      <c r="O24" s="388">
        <v>0</v>
      </c>
      <c r="P24" s="993">
        <v>0</v>
      </c>
      <c r="Q24" s="903">
        <v>0</v>
      </c>
      <c r="R24" s="876"/>
      <c r="S24" s="389">
        <v>0</v>
      </c>
      <c r="T24" s="388">
        <v>0</v>
      </c>
      <c r="U24" s="388">
        <v>0</v>
      </c>
      <c r="V24" s="388">
        <v>0</v>
      </c>
      <c r="W24" s="388">
        <v>0</v>
      </c>
      <c r="X24" s="388">
        <v>0</v>
      </c>
      <c r="Y24" s="1017"/>
      <c r="Z24" s="903">
        <v>0</v>
      </c>
    </row>
    <row r="25" spans="1:26" s="5" customFormat="1" ht="22.5" customHeight="1" thickBot="1">
      <c r="A25" s="109" t="s">
        <v>10</v>
      </c>
      <c r="B25" s="1050" t="s">
        <v>101</v>
      </c>
      <c r="C25" s="1050"/>
      <c r="D25" s="1050"/>
      <c r="E25" s="353">
        <f aca="true" t="shared" si="8" ref="E25:J25">SUM(E26:E28)</f>
        <v>87607657</v>
      </c>
      <c r="F25" s="73">
        <f t="shared" si="8"/>
        <v>58656600</v>
      </c>
      <c r="G25" s="73">
        <f>SUM(G26:G28)</f>
        <v>59503503</v>
      </c>
      <c r="H25" s="73">
        <f>SUM(H26:H28)</f>
        <v>19959710</v>
      </c>
      <c r="I25" s="852">
        <f>SUM(I26:I28)</f>
        <v>19982585</v>
      </c>
      <c r="J25" s="987">
        <f t="shared" si="8"/>
        <v>0</v>
      </c>
      <c r="K25" s="741">
        <f>I25/H25</f>
        <v>1.0011460587353223</v>
      </c>
      <c r="L25" s="353">
        <f aca="true" t="shared" si="9" ref="L25:Q25">SUM(L26:L28)</f>
        <v>87607657</v>
      </c>
      <c r="M25" s="73">
        <f t="shared" si="9"/>
        <v>58656600</v>
      </c>
      <c r="N25" s="73">
        <f>SUM(N26:N28)</f>
        <v>59503503</v>
      </c>
      <c r="O25" s="73">
        <f>SUM(O26:O28)</f>
        <v>19959710</v>
      </c>
      <c r="P25" s="852">
        <f>SUM(P26:P28)</f>
        <v>19982585</v>
      </c>
      <c r="Q25" s="987">
        <f t="shared" si="9"/>
        <v>0</v>
      </c>
      <c r="R25" s="741">
        <f>P25/O25</f>
        <v>1.0011460587353223</v>
      </c>
      <c r="S25" s="353">
        <f>SUM(S26:S28)</f>
        <v>0</v>
      </c>
      <c r="T25" s="73">
        <f>SUM(T26:T28)</f>
        <v>0</v>
      </c>
      <c r="U25" s="73">
        <f>SUM(U26:U28)</f>
        <v>0</v>
      </c>
      <c r="V25" s="73">
        <f>SUM(V26:V28)</f>
        <v>0</v>
      </c>
      <c r="W25" s="73">
        <f>SUM(W26:W28)</f>
        <v>0</v>
      </c>
      <c r="X25" s="73">
        <f>SUM(X26:X28)</f>
        <v>0</v>
      </c>
      <c r="Y25" s="770"/>
      <c r="Z25" s="987">
        <f>SUM(Z26:Z28)</f>
        <v>0</v>
      </c>
    </row>
    <row r="26" spans="1:26" s="5" customFormat="1" ht="22.5" customHeight="1">
      <c r="A26" s="108"/>
      <c r="B26" s="113" t="s">
        <v>43</v>
      </c>
      <c r="C26" s="1057" t="s">
        <v>3</v>
      </c>
      <c r="D26" s="1057"/>
      <c r="E26" s="352">
        <v>87607657</v>
      </c>
      <c r="F26" s="290">
        <f>87607657-181057-28770000</f>
        <v>58656600</v>
      </c>
      <c r="G26" s="290">
        <f>87607657-181057-28770000+846903</f>
        <v>59503503</v>
      </c>
      <c r="H26" s="290">
        <f>87607657-181057-28770000+846903-37935474-200000-1884319-1524000+2000000</f>
        <v>19959710</v>
      </c>
      <c r="I26" s="851">
        <f>87607657-181057-28770000+846903-37935474-200000-1884319-1524000+2000000+22875</f>
        <v>19982585</v>
      </c>
      <c r="J26" s="899"/>
      <c r="K26" s="740"/>
      <c r="L26" s="352">
        <f>E26</f>
        <v>87607657</v>
      </c>
      <c r="M26" s="290">
        <f>F26</f>
        <v>58656600</v>
      </c>
      <c r="N26" s="290">
        <f>G26</f>
        <v>59503503</v>
      </c>
      <c r="O26" s="290">
        <f>H26</f>
        <v>19959710</v>
      </c>
      <c r="P26" s="851">
        <f>I26</f>
        <v>19982585</v>
      </c>
      <c r="Q26" s="899">
        <f>J26-X26</f>
        <v>0</v>
      </c>
      <c r="R26" s="740">
        <f>P26/O26</f>
        <v>1.0011460587353223</v>
      </c>
      <c r="S26" s="352">
        <v>0</v>
      </c>
      <c r="T26" s="290">
        <v>0</v>
      </c>
      <c r="U26" s="290">
        <v>0</v>
      </c>
      <c r="V26" s="290">
        <v>0</v>
      </c>
      <c r="W26" s="290">
        <v>0</v>
      </c>
      <c r="X26" s="290">
        <v>0</v>
      </c>
      <c r="Y26" s="772"/>
      <c r="Z26" s="899">
        <v>0</v>
      </c>
    </row>
    <row r="27" spans="1:26" s="8" customFormat="1" ht="22.5" customHeight="1">
      <c r="A27" s="122"/>
      <c r="B27" s="100" t="s">
        <v>44</v>
      </c>
      <c r="C27" s="1067" t="s">
        <v>287</v>
      </c>
      <c r="D27" s="1067"/>
      <c r="E27" s="347">
        <v>0</v>
      </c>
      <c r="F27" s="287">
        <v>0</v>
      </c>
      <c r="G27" s="287">
        <v>0</v>
      </c>
      <c r="H27" s="287">
        <v>0</v>
      </c>
      <c r="I27" s="992">
        <v>0</v>
      </c>
      <c r="J27" s="901"/>
      <c r="K27" s="875"/>
      <c r="L27" s="347">
        <v>0</v>
      </c>
      <c r="M27" s="287">
        <v>0</v>
      </c>
      <c r="N27" s="287">
        <v>0</v>
      </c>
      <c r="O27" s="287">
        <v>0</v>
      </c>
      <c r="P27" s="992">
        <v>0</v>
      </c>
      <c r="Q27" s="901">
        <v>0</v>
      </c>
      <c r="R27" s="875"/>
      <c r="S27" s="347">
        <v>0</v>
      </c>
      <c r="T27" s="287">
        <v>0</v>
      </c>
      <c r="U27" s="287">
        <v>0</v>
      </c>
      <c r="V27" s="287">
        <v>0</v>
      </c>
      <c r="W27" s="287">
        <v>0</v>
      </c>
      <c r="X27" s="287">
        <v>0</v>
      </c>
      <c r="Y27" s="769"/>
      <c r="Z27" s="901">
        <v>0</v>
      </c>
    </row>
    <row r="28" spans="1:26" s="8" customFormat="1" ht="22.5" customHeight="1" thickBot="1">
      <c r="A28" s="128"/>
      <c r="B28" s="114" t="s">
        <v>69</v>
      </c>
      <c r="C28" s="129" t="s">
        <v>102</v>
      </c>
      <c r="D28" s="129"/>
      <c r="E28" s="366">
        <v>0</v>
      </c>
      <c r="F28" s="367">
        <v>0</v>
      </c>
      <c r="G28" s="367">
        <v>0</v>
      </c>
      <c r="H28" s="367">
        <v>0</v>
      </c>
      <c r="I28" s="994">
        <v>0</v>
      </c>
      <c r="J28" s="904"/>
      <c r="K28" s="877"/>
      <c r="L28" s="366">
        <v>0</v>
      </c>
      <c r="M28" s="367">
        <v>0</v>
      </c>
      <c r="N28" s="367">
        <v>0</v>
      </c>
      <c r="O28" s="367">
        <v>0</v>
      </c>
      <c r="P28" s="994">
        <v>0</v>
      </c>
      <c r="Q28" s="904">
        <v>0</v>
      </c>
      <c r="R28" s="877"/>
      <c r="S28" s="366">
        <v>0</v>
      </c>
      <c r="T28" s="367">
        <v>0</v>
      </c>
      <c r="U28" s="367">
        <v>0</v>
      </c>
      <c r="V28" s="367">
        <v>0</v>
      </c>
      <c r="W28" s="367">
        <v>0</v>
      </c>
      <c r="X28" s="367">
        <v>0</v>
      </c>
      <c r="Y28" s="768"/>
      <c r="Z28" s="904">
        <v>0</v>
      </c>
    </row>
    <row r="29" spans="1:26" s="74" customFormat="1" ht="22.5" customHeight="1" thickBot="1">
      <c r="A29" s="89" t="s">
        <v>11</v>
      </c>
      <c r="B29" s="115" t="s">
        <v>103</v>
      </c>
      <c r="C29" s="115"/>
      <c r="D29" s="115"/>
      <c r="E29" s="354">
        <v>0</v>
      </c>
      <c r="F29" s="355">
        <v>0</v>
      </c>
      <c r="G29" s="355">
        <v>0</v>
      </c>
      <c r="H29" s="355">
        <v>0</v>
      </c>
      <c r="I29" s="853">
        <v>0</v>
      </c>
      <c r="J29" s="905"/>
      <c r="K29" s="742"/>
      <c r="L29" s="354">
        <v>0</v>
      </c>
      <c r="M29" s="355">
        <v>0</v>
      </c>
      <c r="N29" s="355">
        <v>0</v>
      </c>
      <c r="O29" s="355">
        <v>0</v>
      </c>
      <c r="P29" s="853">
        <v>0</v>
      </c>
      <c r="Q29" s="905">
        <v>0</v>
      </c>
      <c r="R29" s="742"/>
      <c r="S29" s="354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0</v>
      </c>
      <c r="Y29" s="773"/>
      <c r="Z29" s="905">
        <v>0</v>
      </c>
    </row>
    <row r="30" spans="1:26" s="74" customFormat="1" ht="22.5" customHeight="1" hidden="1" thickBot="1">
      <c r="A30" s="109"/>
      <c r="B30" s="1050"/>
      <c r="C30" s="1050"/>
      <c r="D30" s="1050"/>
      <c r="E30" s="774"/>
      <c r="F30" s="775"/>
      <c r="G30" s="775"/>
      <c r="H30" s="775"/>
      <c r="I30" s="995"/>
      <c r="J30" s="906"/>
      <c r="K30" s="878"/>
      <c r="L30" s="774"/>
      <c r="M30" s="775"/>
      <c r="N30" s="775"/>
      <c r="O30" s="775"/>
      <c r="P30" s="995"/>
      <c r="Q30" s="906"/>
      <c r="R30" s="878"/>
      <c r="S30" s="774"/>
      <c r="T30" s="775"/>
      <c r="U30" s="775"/>
      <c r="V30" s="775"/>
      <c r="W30" s="775"/>
      <c r="X30" s="775">
        <v>0</v>
      </c>
      <c r="Y30" s="1018"/>
      <c r="Z30" s="986">
        <v>0</v>
      </c>
    </row>
    <row r="31" spans="1:26" s="74" customFormat="1" ht="22.5" customHeight="1" thickBot="1">
      <c r="A31" s="109" t="s">
        <v>12</v>
      </c>
      <c r="B31" s="1031" t="s">
        <v>104</v>
      </c>
      <c r="C31" s="1031"/>
      <c r="D31" s="1031"/>
      <c r="E31" s="351">
        <f aca="true" t="shared" si="10" ref="E31:J31">E6+E17+E25+E29</f>
        <v>386561418</v>
      </c>
      <c r="F31" s="288">
        <f t="shared" si="10"/>
        <v>357791418</v>
      </c>
      <c r="G31" s="288">
        <f t="shared" si="10"/>
        <v>357124182</v>
      </c>
      <c r="H31" s="288">
        <f t="shared" si="10"/>
        <v>372614537</v>
      </c>
      <c r="I31" s="850">
        <f t="shared" si="10"/>
        <v>371736851</v>
      </c>
      <c r="J31" s="986">
        <f t="shared" si="10"/>
        <v>0</v>
      </c>
      <c r="K31" s="739">
        <f>I31/H31</f>
        <v>0.9976445202404972</v>
      </c>
      <c r="L31" s="351">
        <f>L6+L17+L25</f>
        <v>365913625</v>
      </c>
      <c r="M31" s="288">
        <f>M6+M17+M25</f>
        <v>337143625</v>
      </c>
      <c r="N31" s="288">
        <f>N6+N17+N25</f>
        <v>336466389</v>
      </c>
      <c r="O31" s="288">
        <f>O6+O17+O25</f>
        <v>350226744</v>
      </c>
      <c r="P31" s="850">
        <f>P6+P17+P25</f>
        <v>349349058</v>
      </c>
      <c r="Q31" s="986">
        <f>Q6+Q17+Q25</f>
        <v>0</v>
      </c>
      <c r="R31" s="739">
        <f>P31/O31</f>
        <v>0.9974939492342139</v>
      </c>
      <c r="S31" s="351">
        <f>S6+S17+S25+S29+S35</f>
        <v>20647793</v>
      </c>
      <c r="T31" s="288">
        <f>T6+T17+T25+T29+T35</f>
        <v>20647793</v>
      </c>
      <c r="U31" s="288">
        <f>U6+U17+U25+U29+U35</f>
        <v>20657793</v>
      </c>
      <c r="V31" s="288">
        <f>V6+V17+V25+V29+V35</f>
        <v>22387793</v>
      </c>
      <c r="W31" s="288">
        <f>W6+W17+W25+W29+W35</f>
        <v>22387793</v>
      </c>
      <c r="X31" s="288">
        <f>X6+X17+X25+X29+X30</f>
        <v>0</v>
      </c>
      <c r="Y31" s="766">
        <f>W31/V31</f>
        <v>1</v>
      </c>
      <c r="Z31" s="986">
        <f>Z6+Z17+Z25+Z29+Z30</f>
        <v>0</v>
      </c>
    </row>
    <row r="32" spans="1:26" s="74" customFormat="1" ht="22.5" customHeight="1" thickBot="1">
      <c r="A32" s="87" t="s">
        <v>13</v>
      </c>
      <c r="B32" s="1049" t="s">
        <v>105</v>
      </c>
      <c r="C32" s="1049"/>
      <c r="D32" s="1049"/>
      <c r="E32" s="356">
        <f>SUM(E33:E36)</f>
        <v>196471497</v>
      </c>
      <c r="F32" s="112">
        <f>SUM(F33:F36)</f>
        <v>225241497</v>
      </c>
      <c r="G32" s="112">
        <f>SUM(G33:G36)</f>
        <v>225243997</v>
      </c>
      <c r="H32" s="112">
        <f>SUM(H33:H36)</f>
        <v>226133870</v>
      </c>
      <c r="I32" s="854">
        <f>SUM(I33:I36)</f>
        <v>227229803</v>
      </c>
      <c r="J32" s="988">
        <f aca="true" t="shared" si="11" ref="J32:Q32">SUM(J33:J36)</f>
        <v>0</v>
      </c>
      <c r="K32" s="356">
        <f t="shared" si="11"/>
        <v>0</v>
      </c>
      <c r="L32" s="356">
        <f t="shared" si="11"/>
        <v>196471497</v>
      </c>
      <c r="M32" s="112">
        <f>SUM(M33:M36)</f>
        <v>225241497</v>
      </c>
      <c r="N32" s="112">
        <f>SUM(N33:N36)</f>
        <v>225243997</v>
      </c>
      <c r="O32" s="112">
        <f>SUM(O33:O36)</f>
        <v>226133870</v>
      </c>
      <c r="P32" s="854">
        <f>SUM(P33:P36)</f>
        <v>227229803</v>
      </c>
      <c r="Q32" s="988">
        <f t="shared" si="11"/>
        <v>0</v>
      </c>
      <c r="R32" s="879">
        <f>P32/O32</f>
        <v>1.0048463903262257</v>
      </c>
      <c r="S32" s="356">
        <f>SUM(S33:S35)</f>
        <v>0</v>
      </c>
      <c r="T32" s="112">
        <f>SUM(T33:T35)</f>
        <v>0</v>
      </c>
      <c r="U32" s="112">
        <f>SUM(U33:U35)</f>
        <v>0</v>
      </c>
      <c r="V32" s="112">
        <f>SUM(V33:V35)</f>
        <v>0</v>
      </c>
      <c r="W32" s="112">
        <f>SUM(W33:W35)</f>
        <v>0</v>
      </c>
      <c r="X32" s="112"/>
      <c r="Y32" s="760"/>
      <c r="Z32" s="988"/>
    </row>
    <row r="33" spans="1:26" s="5" customFormat="1" ht="22.5" customHeight="1">
      <c r="A33" s="131"/>
      <c r="B33" s="113" t="s">
        <v>47</v>
      </c>
      <c r="C33" s="1094" t="s">
        <v>289</v>
      </c>
      <c r="D33" s="1094"/>
      <c r="E33" s="352"/>
      <c r="F33" s="290"/>
      <c r="G33" s="290"/>
      <c r="H33" s="290">
        <v>755935</v>
      </c>
      <c r="I33" s="851">
        <v>755935</v>
      </c>
      <c r="J33" s="899"/>
      <c r="K33" s="740"/>
      <c r="L33" s="352"/>
      <c r="M33" s="290"/>
      <c r="N33" s="290"/>
      <c r="O33" s="290">
        <f>H33-V33</f>
        <v>755935</v>
      </c>
      <c r="P33" s="851">
        <f>I33-W33</f>
        <v>755935</v>
      </c>
      <c r="Q33" s="899"/>
      <c r="R33" s="740"/>
      <c r="S33" s="352"/>
      <c r="T33" s="290"/>
      <c r="U33" s="290"/>
      <c r="V33" s="290"/>
      <c r="W33" s="290"/>
      <c r="X33" s="290"/>
      <c r="Y33" s="772"/>
      <c r="Z33" s="899"/>
    </row>
    <row r="34" spans="1:26" s="5" customFormat="1" ht="22.5" customHeight="1">
      <c r="A34" s="91"/>
      <c r="B34" s="100" t="s">
        <v>333</v>
      </c>
      <c r="C34" s="1048" t="s">
        <v>548</v>
      </c>
      <c r="D34" s="1048"/>
      <c r="E34" s="386"/>
      <c r="F34" s="387">
        <v>28770000</v>
      </c>
      <c r="G34" s="387">
        <v>28770000</v>
      </c>
      <c r="H34" s="387">
        <v>28770000</v>
      </c>
      <c r="I34" s="991">
        <v>28770000</v>
      </c>
      <c r="J34" s="900"/>
      <c r="K34" s="874"/>
      <c r="L34" s="386"/>
      <c r="M34" s="387">
        <v>28770000</v>
      </c>
      <c r="N34" s="387">
        <v>28770000</v>
      </c>
      <c r="O34" s="387">
        <v>28770000</v>
      </c>
      <c r="P34" s="991">
        <v>28770000</v>
      </c>
      <c r="Q34" s="900"/>
      <c r="R34" s="874"/>
      <c r="S34" s="386"/>
      <c r="T34" s="387"/>
      <c r="U34" s="387"/>
      <c r="V34" s="387"/>
      <c r="W34" s="387"/>
      <c r="X34" s="387"/>
      <c r="Y34" s="1016"/>
      <c r="Z34" s="902"/>
    </row>
    <row r="35" spans="1:26" s="5" customFormat="1" ht="22.5" customHeight="1" thickBot="1">
      <c r="A35" s="622"/>
      <c r="B35" s="623" t="s">
        <v>477</v>
      </c>
      <c r="C35" s="624" t="s">
        <v>288</v>
      </c>
      <c r="D35" s="624"/>
      <c r="E35" s="625">
        <v>187507276</v>
      </c>
      <c r="F35" s="633">
        <v>187507276</v>
      </c>
      <c r="G35" s="633">
        <f>187507276+2500</f>
        <v>187509776</v>
      </c>
      <c r="H35" s="633">
        <f>187507276+2500+133938</f>
        <v>187643714</v>
      </c>
      <c r="I35" s="996">
        <f>187507276+2500+133938+1095933</f>
        <v>188739647</v>
      </c>
      <c r="J35" s="907"/>
      <c r="K35" s="880"/>
      <c r="L35" s="625">
        <f aca="true" t="shared" si="12" ref="L35:P36">E35</f>
        <v>187507276</v>
      </c>
      <c r="M35" s="633">
        <f t="shared" si="12"/>
        <v>187507276</v>
      </c>
      <c r="N35" s="633">
        <f t="shared" si="12"/>
        <v>187509776</v>
      </c>
      <c r="O35" s="633">
        <f t="shared" si="12"/>
        <v>187643714</v>
      </c>
      <c r="P35" s="996">
        <f t="shared" si="12"/>
        <v>188739647</v>
      </c>
      <c r="Q35" s="907"/>
      <c r="R35" s="880">
        <f>P35/O35</f>
        <v>1.0058404994051653</v>
      </c>
      <c r="S35" s="625">
        <v>0</v>
      </c>
      <c r="T35" s="633">
        <v>0</v>
      </c>
      <c r="U35" s="633">
        <v>0</v>
      </c>
      <c r="V35" s="633">
        <v>0</v>
      </c>
      <c r="W35" s="633">
        <v>0</v>
      </c>
      <c r="X35" s="633"/>
      <c r="Y35" s="1019"/>
      <c r="Z35" s="903"/>
    </row>
    <row r="36" spans="1:26" s="5" customFormat="1" ht="22.5" customHeight="1" thickBot="1">
      <c r="A36" s="622"/>
      <c r="B36" s="623" t="s">
        <v>545</v>
      </c>
      <c r="C36" s="624" t="s">
        <v>476</v>
      </c>
      <c r="D36" s="624"/>
      <c r="E36" s="625">
        <v>8964221</v>
      </c>
      <c r="F36" s="633">
        <v>8964221</v>
      </c>
      <c r="G36" s="633">
        <v>8964221</v>
      </c>
      <c r="H36" s="633">
        <v>8964221</v>
      </c>
      <c r="I36" s="996">
        <v>8964221</v>
      </c>
      <c r="J36" s="907"/>
      <c r="K36" s="880"/>
      <c r="L36" s="625">
        <f t="shared" si="12"/>
        <v>8964221</v>
      </c>
      <c r="M36" s="633">
        <f t="shared" si="12"/>
        <v>8964221</v>
      </c>
      <c r="N36" s="633">
        <f t="shared" si="12"/>
        <v>8964221</v>
      </c>
      <c r="O36" s="633">
        <f t="shared" si="12"/>
        <v>8964221</v>
      </c>
      <c r="P36" s="996">
        <f t="shared" si="12"/>
        <v>8964221</v>
      </c>
      <c r="Q36" s="907"/>
      <c r="R36" s="880">
        <f>P36/O36</f>
        <v>1</v>
      </c>
      <c r="S36" s="625"/>
      <c r="T36" s="633"/>
      <c r="U36" s="633"/>
      <c r="V36" s="633"/>
      <c r="W36" s="633"/>
      <c r="X36" s="633"/>
      <c r="Y36" s="1019"/>
      <c r="Z36" s="903"/>
    </row>
    <row r="37" spans="1:26" s="5" customFormat="1" ht="22.5" customHeight="1" thickBot="1">
      <c r="A37" s="109" t="s">
        <v>546</v>
      </c>
      <c r="B37" s="1031" t="s">
        <v>241</v>
      </c>
      <c r="C37" s="1031"/>
      <c r="D37" s="1031"/>
      <c r="E37" s="353">
        <f aca="true" t="shared" si="13" ref="E37:J37">E31+E32</f>
        <v>583032915</v>
      </c>
      <c r="F37" s="73">
        <f t="shared" si="13"/>
        <v>583032915</v>
      </c>
      <c r="G37" s="73">
        <f t="shared" si="13"/>
        <v>582368179</v>
      </c>
      <c r="H37" s="73">
        <f t="shared" si="13"/>
        <v>598748407</v>
      </c>
      <c r="I37" s="852">
        <f t="shared" si="13"/>
        <v>598966654</v>
      </c>
      <c r="J37" s="987">
        <f t="shared" si="13"/>
        <v>0</v>
      </c>
      <c r="K37" s="741">
        <f>I37/H37</f>
        <v>1.0003645053539156</v>
      </c>
      <c r="L37" s="353">
        <f>L31+L32</f>
        <v>562385122</v>
      </c>
      <c r="M37" s="73">
        <f>M31+M32</f>
        <v>562385122</v>
      </c>
      <c r="N37" s="73">
        <f>N31+N32</f>
        <v>561710386</v>
      </c>
      <c r="O37" s="73">
        <f>O31+O32</f>
        <v>576360614</v>
      </c>
      <c r="P37" s="852">
        <f>P31+P32</f>
        <v>576578861</v>
      </c>
      <c r="Q37" s="987">
        <f>Q31+Q32</f>
        <v>0</v>
      </c>
      <c r="R37" s="741">
        <f>P37/O37</f>
        <v>1.0003786639730383</v>
      </c>
      <c r="S37" s="353">
        <f>S31+S32</f>
        <v>20647793</v>
      </c>
      <c r="T37" s="73">
        <f>T31+T32</f>
        <v>20647793</v>
      </c>
      <c r="U37" s="73">
        <f>U31+U32</f>
        <v>20657793</v>
      </c>
      <c r="V37" s="73">
        <f>V31+V32</f>
        <v>22387793</v>
      </c>
      <c r="W37" s="73">
        <f>W31+W32</f>
        <v>22387793</v>
      </c>
      <c r="X37" s="73">
        <f>X31+X32</f>
        <v>0</v>
      </c>
      <c r="Y37" s="770">
        <f>W37/V37</f>
        <v>1</v>
      </c>
      <c r="Z37" s="1014">
        <f>Z31+Z32</f>
        <v>0</v>
      </c>
    </row>
    <row r="38" spans="1:25" s="5" customFormat="1" ht="19.5" customHeight="1" hidden="1" thickBot="1">
      <c r="A38" s="1026" t="s">
        <v>242</v>
      </c>
      <c r="B38" s="1027"/>
      <c r="C38" s="1027"/>
      <c r="D38" s="1027"/>
      <c r="E38" s="562"/>
      <c r="F38" s="563"/>
      <c r="G38" s="563"/>
      <c r="H38" s="563"/>
      <c r="I38" s="997"/>
      <c r="J38" s="989"/>
      <c r="K38" s="564" t="e">
        <f>I38/H38</f>
        <v>#DIV/0!</v>
      </c>
      <c r="L38" s="562"/>
      <c r="M38" s="563"/>
      <c r="N38" s="563"/>
      <c r="O38" s="563"/>
      <c r="P38" s="997"/>
      <c r="Q38" s="989"/>
      <c r="R38" s="564" t="e">
        <f>P38/O38</f>
        <v>#DIV/0!</v>
      </c>
      <c r="S38" s="562"/>
      <c r="T38" s="563"/>
      <c r="U38" s="563"/>
      <c r="V38" s="563"/>
      <c r="W38" s="563"/>
      <c r="X38" s="563"/>
      <c r="Y38" s="568" t="e">
        <f>W38/V38</f>
        <v>#DIV/0!</v>
      </c>
    </row>
    <row r="39" spans="1:25" s="5" customFormat="1" ht="19.5" customHeight="1" thickBot="1">
      <c r="A39" s="1030" t="s">
        <v>8</v>
      </c>
      <c r="B39" s="1031"/>
      <c r="C39" s="1031"/>
      <c r="D39" s="1031"/>
      <c r="E39" s="390">
        <f aca="true" t="shared" si="14" ref="E39:J39">SUM(E37:E38)</f>
        <v>583032915</v>
      </c>
      <c r="F39" s="391">
        <f t="shared" si="14"/>
        <v>583032915</v>
      </c>
      <c r="G39" s="391">
        <f t="shared" si="14"/>
        <v>582368179</v>
      </c>
      <c r="H39" s="391">
        <f t="shared" si="14"/>
        <v>598748407</v>
      </c>
      <c r="I39" s="998">
        <f t="shared" si="14"/>
        <v>598966654</v>
      </c>
      <c r="J39" s="990">
        <f t="shared" si="14"/>
        <v>0</v>
      </c>
      <c r="K39" s="392">
        <f>I39/H39</f>
        <v>1.0003645053539156</v>
      </c>
      <c r="L39" s="390">
        <f>SUM(L37:L38)</f>
        <v>562385122</v>
      </c>
      <c r="M39" s="391">
        <f>SUM(M37:M38)</f>
        <v>562385122</v>
      </c>
      <c r="N39" s="391">
        <f>SUM(N37:N38)</f>
        <v>561710386</v>
      </c>
      <c r="O39" s="391">
        <f>SUM(O37:O38)</f>
        <v>576360614</v>
      </c>
      <c r="P39" s="998">
        <f>SUM(P37:P38)</f>
        <v>576578861</v>
      </c>
      <c r="Q39" s="990">
        <f>SUM(Q37:Q38)</f>
        <v>0</v>
      </c>
      <c r="R39" s="392">
        <f>P39/O39</f>
        <v>1.0003786639730383</v>
      </c>
      <c r="S39" s="390">
        <f>SUM(S37:S38)</f>
        <v>20647793</v>
      </c>
      <c r="T39" s="391">
        <f>SUM(T37:T38)</f>
        <v>20647793</v>
      </c>
      <c r="U39" s="391">
        <f>SUM(U37:U38)</f>
        <v>20657793</v>
      </c>
      <c r="V39" s="391">
        <f>SUM(V37:V38)</f>
        <v>22387793</v>
      </c>
      <c r="W39" s="391">
        <f>SUM(W37:W38)</f>
        <v>22387793</v>
      </c>
      <c r="X39" s="391">
        <f>SUM(X37:X38)</f>
        <v>0</v>
      </c>
      <c r="Y39" s="393">
        <f>W39/V39</f>
        <v>1</v>
      </c>
    </row>
    <row r="40" spans="1:25" s="5" customFormat="1" ht="19.5" customHeight="1">
      <c r="A40" s="451"/>
      <c r="B40" s="569"/>
      <c r="C40" s="451"/>
      <c r="D40" s="451"/>
      <c r="E40" s="570"/>
      <c r="F40" s="570"/>
      <c r="G40" s="570"/>
      <c r="H40" s="570"/>
      <c r="I40" s="570"/>
      <c r="J40" s="570"/>
      <c r="K40" s="570"/>
      <c r="L40" s="571"/>
      <c r="M40" s="571"/>
      <c r="N40" s="571"/>
      <c r="O40" s="571"/>
      <c r="P40" s="571"/>
      <c r="Q40" s="571"/>
      <c r="R40" s="571"/>
      <c r="S40" s="571"/>
      <c r="T40" s="571"/>
      <c r="U40" s="572"/>
      <c r="V40" s="572"/>
      <c r="W40" s="572"/>
      <c r="X40" s="572"/>
      <c r="Y40" s="572"/>
    </row>
    <row r="41" spans="1:20" s="5" customFormat="1" ht="19.5" customHeight="1">
      <c r="A41" s="60"/>
      <c r="B41" s="63"/>
      <c r="C41" s="63"/>
      <c r="D41" s="26"/>
      <c r="E41" s="6"/>
      <c r="F41" s="6"/>
      <c r="G41" s="6"/>
      <c r="H41" s="6"/>
      <c r="I41" s="6"/>
      <c r="J41" s="6"/>
      <c r="K41" s="6"/>
      <c r="L41" s="133"/>
      <c r="M41" s="133"/>
      <c r="N41" s="133"/>
      <c r="O41" s="133"/>
      <c r="P41" s="133"/>
      <c r="Q41" s="133"/>
      <c r="R41" s="133"/>
      <c r="S41" s="133"/>
      <c r="T41" s="133"/>
    </row>
    <row r="42" spans="1:11" ht="15.75">
      <c r="A42" s="118"/>
      <c r="B42" s="59"/>
      <c r="C42" s="59"/>
      <c r="D42" s="26"/>
      <c r="E42" s="4"/>
      <c r="F42" s="4"/>
      <c r="G42" s="4"/>
      <c r="H42" s="4"/>
      <c r="I42" s="4"/>
      <c r="J42" s="4"/>
      <c r="K42" s="4"/>
    </row>
    <row r="43" spans="1:11" ht="15.75">
      <c r="A43" s="118"/>
      <c r="B43" s="59"/>
      <c r="C43" s="59"/>
      <c r="D43" s="26"/>
      <c r="E43" s="4"/>
      <c r="F43" s="4"/>
      <c r="G43" s="4"/>
      <c r="H43" s="4"/>
      <c r="I43" s="4"/>
      <c r="J43" s="4"/>
      <c r="K43" s="4"/>
    </row>
    <row r="44" spans="1:20" ht="15.75">
      <c r="A44" s="118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18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18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18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18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18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18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18"/>
      <c r="B51" s="59"/>
      <c r="C51" s="59"/>
      <c r="D51" s="26"/>
      <c r="E51" s="3"/>
      <c r="F51" s="3"/>
      <c r="G51" s="3"/>
      <c r="H51" s="3"/>
      <c r="I51" s="3"/>
      <c r="J51" s="3"/>
      <c r="K51" s="3"/>
    </row>
    <row r="52" spans="1:11" ht="15.75">
      <c r="A52" s="118"/>
      <c r="B52" s="59"/>
      <c r="C52" s="59"/>
      <c r="D52" s="26"/>
      <c r="E52" s="3"/>
      <c r="F52" s="3"/>
      <c r="G52" s="3"/>
      <c r="H52" s="3"/>
      <c r="I52" s="3"/>
      <c r="J52" s="3"/>
      <c r="K52" s="3"/>
    </row>
    <row r="53" spans="1:11" ht="15.75">
      <c r="A53" s="118"/>
      <c r="B53" s="59"/>
      <c r="C53" s="59"/>
      <c r="D53" s="26"/>
      <c r="E53" s="3"/>
      <c r="F53" s="3"/>
      <c r="G53" s="3"/>
      <c r="H53" s="3"/>
      <c r="I53" s="3"/>
      <c r="J53" s="3"/>
      <c r="K53" s="3"/>
    </row>
    <row r="54" spans="1:11" ht="15.75">
      <c r="A54" s="118"/>
      <c r="B54" s="59"/>
      <c r="C54" s="59"/>
      <c r="D54" s="26"/>
      <c r="E54" s="3"/>
      <c r="F54" s="3"/>
      <c r="G54" s="3"/>
      <c r="H54" s="3"/>
      <c r="I54" s="3"/>
      <c r="J54" s="3"/>
      <c r="K54" s="3"/>
    </row>
    <row r="55" spans="1:11" ht="15.75">
      <c r="A55" s="118"/>
      <c r="B55" s="59"/>
      <c r="C55" s="59"/>
      <c r="D55" s="26"/>
      <c r="E55" s="3"/>
      <c r="F55" s="3"/>
      <c r="G55" s="3"/>
      <c r="H55" s="3"/>
      <c r="I55" s="3"/>
      <c r="J55" s="3"/>
      <c r="K55" s="3"/>
    </row>
    <row r="56" spans="1:11" ht="15.75">
      <c r="A56" s="118"/>
      <c r="B56" s="59"/>
      <c r="C56" s="59"/>
      <c r="D56" s="26"/>
      <c r="E56" s="3"/>
      <c r="F56" s="3"/>
      <c r="G56" s="3"/>
      <c r="H56" s="3"/>
      <c r="I56" s="3"/>
      <c r="J56" s="3"/>
      <c r="K56" s="3"/>
    </row>
    <row r="57" spans="1:11" ht="15.75">
      <c r="A57" s="118"/>
      <c r="B57" s="59"/>
      <c r="C57" s="59"/>
      <c r="D57" s="26"/>
      <c r="E57" s="3"/>
      <c r="F57" s="3"/>
      <c r="G57" s="3"/>
      <c r="H57" s="3"/>
      <c r="I57" s="3"/>
      <c r="J57" s="3"/>
      <c r="K57" s="3"/>
    </row>
    <row r="58" spans="1:11" ht="15.75">
      <c r="A58" s="118"/>
      <c r="B58" s="59"/>
      <c r="C58" s="59"/>
      <c r="D58" s="26"/>
      <c r="E58" s="3"/>
      <c r="F58" s="3"/>
      <c r="G58" s="3"/>
      <c r="H58" s="3"/>
      <c r="I58" s="3"/>
      <c r="J58" s="3"/>
      <c r="K58" s="3"/>
    </row>
    <row r="59" spans="1:11" ht="15.75">
      <c r="A59" s="118"/>
      <c r="B59" s="59"/>
      <c r="C59" s="59"/>
      <c r="D59" s="26"/>
      <c r="E59" s="3"/>
      <c r="F59" s="3"/>
      <c r="G59" s="3"/>
      <c r="H59" s="3"/>
      <c r="I59" s="3"/>
      <c r="J59" s="3"/>
      <c r="K59" s="3"/>
    </row>
    <row r="60" spans="1:11" ht="15.75">
      <c r="A60" s="118"/>
      <c r="B60" s="59"/>
      <c r="C60" s="59"/>
      <c r="D60" s="26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110" zoomScaleNormal="110" zoomScalePageLayoutView="0" workbookViewId="0" topLeftCell="E1">
      <selection activeCell="H40" sqref="H40"/>
    </sheetView>
  </sheetViews>
  <sheetFormatPr defaultColWidth="9.140625" defaultRowHeight="12.75"/>
  <cols>
    <col min="1" max="1" width="4.28125" style="215" customWidth="1"/>
    <col min="2" max="2" width="4.7109375" style="148" customWidth="1"/>
    <col min="3" max="3" width="45.421875" style="148" customWidth="1"/>
    <col min="4" max="4" width="11.140625" style="148" customWidth="1"/>
    <col min="5" max="5" width="10.57421875" style="148" customWidth="1"/>
    <col min="6" max="6" width="10.421875" style="148" customWidth="1"/>
    <col min="7" max="7" width="11.7109375" style="148" customWidth="1"/>
    <col min="8" max="8" width="12.421875" style="148" customWidth="1"/>
    <col min="9" max="9" width="8.28125" style="148" hidden="1" customWidth="1"/>
    <col min="10" max="10" width="9.8515625" style="148" hidden="1" customWidth="1"/>
    <col min="11" max="11" width="8.28125" style="148" hidden="1" customWidth="1"/>
    <col min="12" max="12" width="12.8515625" style="148" customWidth="1"/>
    <col min="13" max="13" width="11.00390625" style="148" customWidth="1"/>
    <col min="14" max="14" width="10.00390625" style="148" customWidth="1"/>
    <col min="15" max="15" width="10.140625" style="148" customWidth="1"/>
    <col min="16" max="16" width="10.28125" style="148" customWidth="1"/>
    <col min="17" max="17" width="10.28125" style="148" hidden="1" customWidth="1"/>
    <col min="18" max="18" width="9.8515625" style="148" hidden="1" customWidth="1"/>
    <col min="19" max="19" width="11.7109375" style="148" customWidth="1"/>
    <col min="20" max="20" width="9.140625" style="148" customWidth="1"/>
    <col min="21" max="21" width="9.421875" style="148" customWidth="1"/>
    <col min="22" max="22" width="10.00390625" style="148" customWidth="1"/>
    <col min="23" max="23" width="10.8515625" style="148" customWidth="1"/>
    <col min="24" max="24" width="10.00390625" style="148" hidden="1" customWidth="1"/>
    <col min="25" max="27" width="9.140625" style="148" hidden="1" customWidth="1"/>
    <col min="28" max="16384" width="9.140625" style="148" customWidth="1"/>
  </cols>
  <sheetData>
    <row r="1" spans="1:19" s="140" customFormat="1" ht="21" customHeight="1">
      <c r="A1" s="136"/>
      <c r="B1" s="137"/>
      <c r="C1" s="1095" t="s">
        <v>198</v>
      </c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95"/>
    </row>
    <row r="2" spans="1:11" s="140" customFormat="1" ht="21" customHeight="1">
      <c r="A2" s="251"/>
      <c r="B2" s="137"/>
      <c r="C2" s="142"/>
      <c r="D2" s="141"/>
      <c r="E2" s="141"/>
      <c r="F2" s="141"/>
      <c r="G2" s="141"/>
      <c r="H2" s="141"/>
      <c r="I2" s="141"/>
      <c r="J2" s="141"/>
      <c r="K2" s="141"/>
    </row>
    <row r="3" spans="1:19" s="143" customFormat="1" ht="25.5" customHeight="1">
      <c r="A3" s="1098" t="s">
        <v>221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</row>
    <row r="4" spans="1:19" s="146" customFormat="1" ht="15.75" customHeight="1" thickBot="1">
      <c r="A4" s="144"/>
      <c r="B4" s="144"/>
      <c r="C4" s="144"/>
      <c r="S4" s="145" t="s">
        <v>507</v>
      </c>
    </row>
    <row r="5" spans="1:26" ht="36.75" customHeight="1" thickBot="1">
      <c r="A5" s="1096" t="s">
        <v>108</v>
      </c>
      <c r="B5" s="1097"/>
      <c r="C5" s="147" t="s">
        <v>109</v>
      </c>
      <c r="D5" s="1100" t="s">
        <v>5</v>
      </c>
      <c r="E5" s="1101"/>
      <c r="F5" s="1101"/>
      <c r="G5" s="1101"/>
      <c r="H5" s="1101"/>
      <c r="I5" s="1101"/>
      <c r="J5" s="1101"/>
      <c r="K5" s="1101"/>
      <c r="L5" s="1102" t="s">
        <v>107</v>
      </c>
      <c r="M5" s="1103"/>
      <c r="N5" s="1103"/>
      <c r="O5" s="1103"/>
      <c r="P5" s="1103"/>
      <c r="Q5" s="1100"/>
      <c r="R5" s="1100"/>
      <c r="S5" s="1102" t="s">
        <v>154</v>
      </c>
      <c r="T5" s="1103"/>
      <c r="U5" s="1103"/>
      <c r="V5" s="1103"/>
      <c r="W5" s="1103"/>
      <c r="X5" s="1103"/>
      <c r="Y5" s="1103"/>
      <c r="Z5" s="1104"/>
    </row>
    <row r="6" spans="1:27" ht="13.5" thickBot="1">
      <c r="A6" s="304"/>
      <c r="B6" s="305"/>
      <c r="C6" s="147"/>
      <c r="D6" s="147" t="s">
        <v>233</v>
      </c>
      <c r="E6" s="147" t="s">
        <v>231</v>
      </c>
      <c r="F6" s="147" t="s">
        <v>234</v>
      </c>
      <c r="G6" s="147" t="s">
        <v>237</v>
      </c>
      <c r="H6" s="147" t="s">
        <v>251</v>
      </c>
      <c r="I6" s="147" t="s">
        <v>256</v>
      </c>
      <c r="J6" s="147" t="s">
        <v>367</v>
      </c>
      <c r="K6" s="453" t="s">
        <v>256</v>
      </c>
      <c r="L6" s="482" t="s">
        <v>233</v>
      </c>
      <c r="M6" s="147" t="s">
        <v>231</v>
      </c>
      <c r="N6" s="147" t="s">
        <v>234</v>
      </c>
      <c r="O6" s="147" t="s">
        <v>237</v>
      </c>
      <c r="P6" s="147" t="s">
        <v>251</v>
      </c>
      <c r="Q6" s="147" t="s">
        <v>256</v>
      </c>
      <c r="R6" s="147" t="s">
        <v>367</v>
      </c>
      <c r="S6" s="482" t="s">
        <v>233</v>
      </c>
      <c r="T6" s="147" t="s">
        <v>231</v>
      </c>
      <c r="U6" s="147" t="s">
        <v>234</v>
      </c>
      <c r="V6" s="147" t="s">
        <v>237</v>
      </c>
      <c r="W6" s="147" t="s">
        <v>251</v>
      </c>
      <c r="X6" s="147" t="s">
        <v>256</v>
      </c>
      <c r="Y6" s="147" t="s">
        <v>367</v>
      </c>
      <c r="Z6" s="453" t="s">
        <v>240</v>
      </c>
      <c r="AA6" s="147" t="s">
        <v>256</v>
      </c>
    </row>
    <row r="7" spans="1:27" s="152" customFormat="1" ht="12.75" customHeight="1" thickBot="1">
      <c r="A7" s="149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  <c r="I7" s="150">
        <v>9</v>
      </c>
      <c r="J7" s="150">
        <v>9</v>
      </c>
      <c r="K7" s="151"/>
      <c r="L7" s="149">
        <v>9</v>
      </c>
      <c r="M7" s="150">
        <v>10</v>
      </c>
      <c r="N7" s="150">
        <v>11</v>
      </c>
      <c r="O7" s="150">
        <v>12</v>
      </c>
      <c r="P7" s="150">
        <v>13</v>
      </c>
      <c r="Q7" s="297">
        <v>15</v>
      </c>
      <c r="R7" s="297">
        <v>15</v>
      </c>
      <c r="S7" s="149">
        <v>14</v>
      </c>
      <c r="T7" s="150">
        <v>15</v>
      </c>
      <c r="U7" s="150">
        <v>16</v>
      </c>
      <c r="V7" s="150">
        <v>17</v>
      </c>
      <c r="W7" s="150">
        <v>18</v>
      </c>
      <c r="X7" s="150">
        <v>21</v>
      </c>
      <c r="Y7" s="150">
        <v>21</v>
      </c>
      <c r="Z7" s="151"/>
      <c r="AA7" s="150"/>
    </row>
    <row r="8" spans="1:27" s="152" customFormat="1" ht="15.75" customHeight="1" thickBot="1">
      <c r="A8" s="153"/>
      <c r="B8" s="154"/>
      <c r="C8" s="154" t="s">
        <v>110</v>
      </c>
      <c r="D8" s="280"/>
      <c r="E8" s="280"/>
      <c r="F8" s="217"/>
      <c r="G8" s="217"/>
      <c r="H8" s="217"/>
      <c r="I8" s="217"/>
      <c r="J8" s="217"/>
      <c r="K8" s="281"/>
      <c r="L8" s="459"/>
      <c r="M8" s="280"/>
      <c r="N8" s="217"/>
      <c r="O8" s="217"/>
      <c r="P8" s="217"/>
      <c r="Q8" s="298"/>
      <c r="R8" s="298"/>
      <c r="S8" s="459"/>
      <c r="T8" s="459"/>
      <c r="U8" s="217"/>
      <c r="V8" s="217"/>
      <c r="W8" s="217"/>
      <c r="X8" s="217"/>
      <c r="Y8" s="217"/>
      <c r="Z8" s="281"/>
      <c r="AA8" s="217"/>
    </row>
    <row r="9" spans="1:27" s="158" customFormat="1" ht="12" customHeight="1" thickBot="1">
      <c r="A9" s="149" t="s">
        <v>29</v>
      </c>
      <c r="B9" s="155"/>
      <c r="C9" s="156" t="s">
        <v>346</v>
      </c>
      <c r="D9" s="218"/>
      <c r="E9" s="218"/>
      <c r="F9" s="218">
        <f>SUM(F10:F12)</f>
        <v>7750</v>
      </c>
      <c r="G9" s="218">
        <f>SUM(G10:G12)</f>
        <v>39629</v>
      </c>
      <c r="H9" s="218">
        <f>SUM(H10:H12)</f>
        <v>43229</v>
      </c>
      <c r="I9" s="866"/>
      <c r="J9" s="376"/>
      <c r="K9" s="157"/>
      <c r="L9" s="460"/>
      <c r="M9" s="218"/>
      <c r="N9" s="218">
        <f>SUM(N10:N12)</f>
        <v>7750</v>
      </c>
      <c r="O9" s="218">
        <f>SUM(O10:O12)</f>
        <v>39629</v>
      </c>
      <c r="P9" s="218">
        <f>SUM(P10:P12)</f>
        <v>43229</v>
      </c>
      <c r="Q9" s="866"/>
      <c r="R9" s="376"/>
      <c r="S9" s="460"/>
      <c r="T9" s="460"/>
      <c r="U9" s="218"/>
      <c r="V9" s="218"/>
      <c r="W9" s="218"/>
      <c r="X9" s="218"/>
      <c r="Y9" s="218"/>
      <c r="Z9" s="157"/>
      <c r="AA9" s="218"/>
    </row>
    <row r="10" spans="1:27" s="158" customFormat="1" ht="12" customHeight="1">
      <c r="A10" s="159"/>
      <c r="B10" s="170" t="s">
        <v>37</v>
      </c>
      <c r="C10" s="939" t="s">
        <v>560</v>
      </c>
      <c r="D10" s="940"/>
      <c r="E10" s="940"/>
      <c r="F10" s="941">
        <v>3600</v>
      </c>
      <c r="G10" s="941">
        <f>3600+12785</f>
        <v>16385</v>
      </c>
      <c r="H10" s="941">
        <f>3600+12785</f>
        <v>16385</v>
      </c>
      <c r="I10" s="942"/>
      <c r="J10" s="943"/>
      <c r="K10" s="944"/>
      <c r="L10" s="945"/>
      <c r="M10" s="940"/>
      <c r="N10" s="941">
        <v>3600</v>
      </c>
      <c r="O10" s="941">
        <f>3600+12785</f>
        <v>16385</v>
      </c>
      <c r="P10" s="941">
        <f>3600+12785</f>
        <v>16385</v>
      </c>
      <c r="Q10" s="942"/>
      <c r="R10" s="943"/>
      <c r="S10" s="945"/>
      <c r="T10" s="945"/>
      <c r="U10" s="940"/>
      <c r="V10" s="940"/>
      <c r="W10" s="940"/>
      <c r="X10" s="936"/>
      <c r="Y10" s="936"/>
      <c r="Z10" s="937"/>
      <c r="AA10" s="936"/>
    </row>
    <row r="11" spans="1:27" s="158" customFormat="1" ht="12" customHeight="1">
      <c r="A11" s="161"/>
      <c r="B11" s="160" t="s">
        <v>38</v>
      </c>
      <c r="C11" s="946" t="s">
        <v>319</v>
      </c>
      <c r="D11" s="947"/>
      <c r="E11" s="947"/>
      <c r="F11" s="948">
        <v>500</v>
      </c>
      <c r="G11" s="948">
        <v>700</v>
      </c>
      <c r="H11" s="948">
        <v>700</v>
      </c>
      <c r="I11" s="949"/>
      <c r="J11" s="950"/>
      <c r="K11" s="951"/>
      <c r="L11" s="952"/>
      <c r="M11" s="947"/>
      <c r="N11" s="948">
        <v>500</v>
      </c>
      <c r="O11" s="948">
        <v>700</v>
      </c>
      <c r="P11" s="948">
        <v>700</v>
      </c>
      <c r="Q11" s="949"/>
      <c r="R11" s="950"/>
      <c r="S11" s="952"/>
      <c r="T11" s="952"/>
      <c r="U11" s="947"/>
      <c r="V11" s="947"/>
      <c r="W11" s="947"/>
      <c r="X11" s="936"/>
      <c r="Y11" s="936"/>
      <c r="Z11" s="937"/>
      <c r="AA11" s="936"/>
    </row>
    <row r="12" spans="1:27" s="158" customFormat="1" ht="12" customHeight="1" thickBot="1">
      <c r="A12" s="953"/>
      <c r="B12" s="160" t="s">
        <v>39</v>
      </c>
      <c r="C12" s="954" t="s">
        <v>561</v>
      </c>
      <c r="D12" s="955"/>
      <c r="E12" s="955"/>
      <c r="F12" s="956">
        <v>3650</v>
      </c>
      <c r="G12" s="956">
        <f>3650+18894</f>
        <v>22544</v>
      </c>
      <c r="H12" s="956">
        <f>3650+18894+3600</f>
        <v>26144</v>
      </c>
      <c r="I12" s="957"/>
      <c r="J12" s="958"/>
      <c r="K12" s="959"/>
      <c r="L12" s="960"/>
      <c r="M12" s="955"/>
      <c r="N12" s="956">
        <v>3650</v>
      </c>
      <c r="O12" s="956">
        <f>3650+18894</f>
        <v>22544</v>
      </c>
      <c r="P12" s="956">
        <f>3650+18894+3600</f>
        <v>26144</v>
      </c>
      <c r="Q12" s="957"/>
      <c r="R12" s="958"/>
      <c r="S12" s="960"/>
      <c r="T12" s="960"/>
      <c r="U12" s="955"/>
      <c r="V12" s="955"/>
      <c r="W12" s="955"/>
      <c r="X12" s="936"/>
      <c r="Y12" s="936"/>
      <c r="Z12" s="937"/>
      <c r="AA12" s="936"/>
    </row>
    <row r="13" spans="1:27" s="164" customFormat="1" ht="12" customHeight="1" hidden="1" thickBot="1">
      <c r="A13" s="165" t="s">
        <v>30</v>
      </c>
      <c r="B13" s="160"/>
      <c r="C13" s="938" t="s">
        <v>116</v>
      </c>
      <c r="D13" s="228"/>
      <c r="E13" s="228"/>
      <c r="F13" s="228"/>
      <c r="G13" s="228"/>
      <c r="H13" s="228"/>
      <c r="I13" s="892"/>
      <c r="J13" s="746" t="e">
        <f>H13/F13</f>
        <v>#DIV/0!</v>
      </c>
      <c r="K13" s="282"/>
      <c r="L13" s="461"/>
      <c r="M13" s="228"/>
      <c r="N13" s="228"/>
      <c r="O13" s="228"/>
      <c r="P13" s="228"/>
      <c r="Q13" s="892"/>
      <c r="R13" s="746" t="e">
        <f>P13/N13</f>
        <v>#DIV/0!</v>
      </c>
      <c r="S13" s="461"/>
      <c r="T13" s="461"/>
      <c r="U13" s="228"/>
      <c r="V13" s="228"/>
      <c r="W13" s="228"/>
      <c r="X13" s="228"/>
      <c r="Y13" s="228"/>
      <c r="Z13" s="282"/>
      <c r="AA13" s="228"/>
    </row>
    <row r="14" spans="1:27" s="158" customFormat="1" ht="12" customHeight="1" thickBot="1">
      <c r="A14" s="149" t="s">
        <v>30</v>
      </c>
      <c r="B14" s="155"/>
      <c r="C14" s="156" t="s">
        <v>117</v>
      </c>
      <c r="D14" s="218">
        <f aca="true" t="shared" si="0" ref="D14:I14">SUM(D15:D18)</f>
        <v>393000</v>
      </c>
      <c r="E14" s="218">
        <f t="shared" si="0"/>
        <v>393000</v>
      </c>
      <c r="F14" s="218">
        <f t="shared" si="0"/>
        <v>393000</v>
      </c>
      <c r="G14" s="218">
        <f t="shared" si="0"/>
        <v>393000</v>
      </c>
      <c r="H14" s="218">
        <f t="shared" si="0"/>
        <v>2127019</v>
      </c>
      <c r="I14" s="866">
        <f t="shared" si="0"/>
        <v>0</v>
      </c>
      <c r="J14" s="376"/>
      <c r="K14" s="157">
        <f aca="true" t="shared" si="1" ref="K14:Q14">SUM(K15:K18)</f>
        <v>0</v>
      </c>
      <c r="L14" s="218">
        <f t="shared" si="1"/>
        <v>393000</v>
      </c>
      <c r="M14" s="218">
        <f t="shared" si="1"/>
        <v>393000</v>
      </c>
      <c r="N14" s="218">
        <f t="shared" si="1"/>
        <v>393000</v>
      </c>
      <c r="O14" s="218">
        <f t="shared" si="1"/>
        <v>393000</v>
      </c>
      <c r="P14" s="218">
        <f t="shared" si="1"/>
        <v>2127019</v>
      </c>
      <c r="Q14" s="866">
        <f t="shared" si="1"/>
        <v>0</v>
      </c>
      <c r="R14" s="376"/>
      <c r="S14" s="460"/>
      <c r="T14" s="460"/>
      <c r="U14" s="218"/>
      <c r="V14" s="218"/>
      <c r="W14" s="218"/>
      <c r="X14" s="218"/>
      <c r="Y14" s="218"/>
      <c r="Z14" s="157"/>
      <c r="AA14" s="218"/>
    </row>
    <row r="15" spans="1:27" s="164" customFormat="1" ht="12" customHeight="1">
      <c r="A15" s="161"/>
      <c r="B15" s="160" t="s">
        <v>40</v>
      </c>
      <c r="C15" s="166" t="s">
        <v>74</v>
      </c>
      <c r="D15" s="219">
        <v>393000</v>
      </c>
      <c r="E15" s="219">
        <v>393000</v>
      </c>
      <c r="F15" s="219">
        <v>393000</v>
      </c>
      <c r="G15" s="219">
        <v>393000</v>
      </c>
      <c r="H15" s="219">
        <f>393000+1734019</f>
        <v>2127019</v>
      </c>
      <c r="I15" s="867"/>
      <c r="J15" s="747"/>
      <c r="K15" s="163"/>
      <c r="L15" s="219">
        <v>393000</v>
      </c>
      <c r="M15" s="219">
        <v>393000</v>
      </c>
      <c r="N15" s="219">
        <v>393000</v>
      </c>
      <c r="O15" s="219">
        <v>393000</v>
      </c>
      <c r="P15" s="219">
        <f>393000+1734019</f>
        <v>2127019</v>
      </c>
      <c r="Q15" s="867"/>
      <c r="R15" s="747"/>
      <c r="S15" s="462"/>
      <c r="T15" s="462"/>
      <c r="U15" s="219"/>
      <c r="V15" s="219"/>
      <c r="W15" s="219"/>
      <c r="X15" s="219"/>
      <c r="Y15" s="219"/>
      <c r="Z15" s="163"/>
      <c r="AA15" s="219"/>
    </row>
    <row r="16" spans="1:27" s="164" customFormat="1" ht="12" customHeight="1">
      <c r="A16" s="161"/>
      <c r="B16" s="160" t="s">
        <v>41</v>
      </c>
      <c r="C16" s="162" t="s">
        <v>120</v>
      </c>
      <c r="D16" s="219"/>
      <c r="E16" s="219"/>
      <c r="F16" s="219"/>
      <c r="G16" s="219"/>
      <c r="H16" s="219"/>
      <c r="I16" s="867"/>
      <c r="J16" s="747"/>
      <c r="K16" s="163"/>
      <c r="L16" s="219"/>
      <c r="M16" s="219"/>
      <c r="N16" s="219"/>
      <c r="O16" s="219"/>
      <c r="P16" s="219"/>
      <c r="Q16" s="867"/>
      <c r="R16" s="747"/>
      <c r="S16" s="462"/>
      <c r="T16" s="462"/>
      <c r="U16" s="219"/>
      <c r="V16" s="219"/>
      <c r="W16" s="219"/>
      <c r="X16" s="219"/>
      <c r="Y16" s="219"/>
      <c r="Z16" s="163"/>
      <c r="AA16" s="219"/>
    </row>
    <row r="17" spans="1:27" s="164" customFormat="1" ht="12" customHeight="1">
      <c r="A17" s="161"/>
      <c r="B17" s="160" t="s">
        <v>42</v>
      </c>
      <c r="C17" s="162" t="s">
        <v>75</v>
      </c>
      <c r="D17" s="219"/>
      <c r="E17" s="219"/>
      <c r="F17" s="219"/>
      <c r="G17" s="219"/>
      <c r="H17" s="219"/>
      <c r="I17" s="867"/>
      <c r="J17" s="747"/>
      <c r="K17" s="163"/>
      <c r="L17" s="219"/>
      <c r="M17" s="219"/>
      <c r="N17" s="219"/>
      <c r="O17" s="219"/>
      <c r="P17" s="219"/>
      <c r="Q17" s="867"/>
      <c r="R17" s="747"/>
      <c r="S17" s="462"/>
      <c r="T17" s="462"/>
      <c r="U17" s="219"/>
      <c r="V17" s="219"/>
      <c r="W17" s="219"/>
      <c r="X17" s="219"/>
      <c r="Y17" s="219"/>
      <c r="Z17" s="163"/>
      <c r="AA17" s="219"/>
    </row>
    <row r="18" spans="1:27" s="164" customFormat="1" ht="12" customHeight="1" thickBot="1">
      <c r="A18" s="161"/>
      <c r="B18" s="160" t="s">
        <v>278</v>
      </c>
      <c r="C18" s="162" t="s">
        <v>120</v>
      </c>
      <c r="D18" s="219"/>
      <c r="E18" s="219"/>
      <c r="F18" s="219"/>
      <c r="G18" s="219"/>
      <c r="H18" s="219"/>
      <c r="I18" s="867"/>
      <c r="J18" s="747"/>
      <c r="K18" s="163"/>
      <c r="L18" s="219"/>
      <c r="M18" s="219"/>
      <c r="N18" s="219"/>
      <c r="O18" s="219"/>
      <c r="P18" s="219"/>
      <c r="Q18" s="867"/>
      <c r="R18" s="747"/>
      <c r="S18" s="462"/>
      <c r="T18" s="462"/>
      <c r="U18" s="219"/>
      <c r="V18" s="219"/>
      <c r="W18" s="219"/>
      <c r="X18" s="219"/>
      <c r="Y18" s="219"/>
      <c r="Z18" s="163"/>
      <c r="AA18" s="219"/>
    </row>
    <row r="19" spans="1:27" s="164" customFormat="1" ht="12" customHeight="1" thickBot="1">
      <c r="A19" s="167" t="s">
        <v>10</v>
      </c>
      <c r="B19" s="168"/>
      <c r="C19" s="168" t="s">
        <v>123</v>
      </c>
      <c r="D19" s="218">
        <f>SUM(D20:D21)</f>
        <v>0</v>
      </c>
      <c r="E19" s="218">
        <f>SUM(E20:E21)</f>
        <v>0</v>
      </c>
      <c r="F19" s="218">
        <f>SUM(F20:F21)</f>
        <v>0</v>
      </c>
      <c r="G19" s="218">
        <f>SUM(G20:G21)</f>
        <v>0</v>
      </c>
      <c r="H19" s="218">
        <f>SUM(H20:H21)</f>
        <v>0</v>
      </c>
      <c r="I19" s="866"/>
      <c r="J19" s="376"/>
      <c r="K19" s="157"/>
      <c r="L19" s="218">
        <f>SUM(L20:L21)</f>
        <v>0</v>
      </c>
      <c r="M19" s="218">
        <f>SUM(M20:M21)</f>
        <v>0</v>
      </c>
      <c r="N19" s="218">
        <f>SUM(N20:N21)</f>
        <v>0</v>
      </c>
      <c r="O19" s="218">
        <f>SUM(O20:O21)</f>
        <v>0</v>
      </c>
      <c r="P19" s="218">
        <f>SUM(P20:P21)</f>
        <v>0</v>
      </c>
      <c r="Q19" s="866"/>
      <c r="R19" s="376"/>
      <c r="S19" s="460"/>
      <c r="T19" s="460"/>
      <c r="U19" s="218"/>
      <c r="V19" s="218"/>
      <c r="W19" s="218"/>
      <c r="X19" s="218"/>
      <c r="Y19" s="218"/>
      <c r="Z19" s="157"/>
      <c r="AA19" s="218"/>
    </row>
    <row r="20" spans="1:27" s="158" customFormat="1" ht="12" customHeight="1">
      <c r="A20" s="169"/>
      <c r="B20" s="170" t="s">
        <v>43</v>
      </c>
      <c r="C20" s="171" t="s">
        <v>125</v>
      </c>
      <c r="D20" s="220"/>
      <c r="E20" s="220"/>
      <c r="F20" s="220"/>
      <c r="G20" s="220"/>
      <c r="H20" s="220"/>
      <c r="I20" s="868"/>
      <c r="J20" s="748"/>
      <c r="K20" s="172"/>
      <c r="L20" s="220"/>
      <c r="M20" s="220"/>
      <c r="N20" s="220"/>
      <c r="O20" s="220"/>
      <c r="P20" s="220"/>
      <c r="Q20" s="868"/>
      <c r="R20" s="748"/>
      <c r="S20" s="463"/>
      <c r="T20" s="463"/>
      <c r="U20" s="220"/>
      <c r="V20" s="220"/>
      <c r="W20" s="220"/>
      <c r="X20" s="220"/>
      <c r="Y20" s="220"/>
      <c r="Z20" s="172"/>
      <c r="AA20" s="220"/>
    </row>
    <row r="21" spans="1:27" s="158" customFormat="1" ht="12" customHeight="1" thickBot="1">
      <c r="A21" s="173"/>
      <c r="B21" s="174" t="s">
        <v>44</v>
      </c>
      <c r="C21" s="175" t="s">
        <v>127</v>
      </c>
      <c r="D21" s="221"/>
      <c r="E21" s="221"/>
      <c r="F21" s="221"/>
      <c r="G21" s="221"/>
      <c r="H21" s="221"/>
      <c r="I21" s="869"/>
      <c r="J21" s="749"/>
      <c r="K21" s="176"/>
      <c r="L21" s="221"/>
      <c r="M21" s="221"/>
      <c r="N21" s="221"/>
      <c r="O21" s="221"/>
      <c r="P21" s="221"/>
      <c r="Q21" s="869"/>
      <c r="R21" s="749"/>
      <c r="S21" s="464"/>
      <c r="T21" s="464"/>
      <c r="U21" s="221"/>
      <c r="V21" s="221"/>
      <c r="W21" s="221"/>
      <c r="X21" s="221"/>
      <c r="Y21" s="221"/>
      <c r="Z21" s="176"/>
      <c r="AA21" s="221"/>
    </row>
    <row r="22" spans="1:27" s="158" customFormat="1" ht="12" customHeight="1" hidden="1" thickBot="1">
      <c r="A22" s="167" t="s">
        <v>11</v>
      </c>
      <c r="B22" s="155"/>
      <c r="D22" s="222"/>
      <c r="E22" s="222"/>
      <c r="F22" s="222"/>
      <c r="G22" s="222"/>
      <c r="H22" s="222"/>
      <c r="I22" s="870"/>
      <c r="J22" s="750" t="e">
        <f>H22/F22</f>
        <v>#DIV/0!</v>
      </c>
      <c r="K22" s="177"/>
      <c r="L22" s="222"/>
      <c r="M22" s="222"/>
      <c r="N22" s="222"/>
      <c r="O22" s="222"/>
      <c r="P22" s="222"/>
      <c r="Q22" s="870"/>
      <c r="R22" s="750" t="e">
        <f>P22/N22</f>
        <v>#DIV/0!</v>
      </c>
      <c r="S22" s="465"/>
      <c r="T22" s="465"/>
      <c r="U22" s="222"/>
      <c r="V22" s="222"/>
      <c r="W22" s="222"/>
      <c r="X22" s="222"/>
      <c r="Y22" s="222"/>
      <c r="Z22" s="177"/>
      <c r="AA22" s="222"/>
    </row>
    <row r="23" spans="1:27" s="158" customFormat="1" ht="12" customHeight="1" thickBot="1">
      <c r="A23" s="149" t="s">
        <v>11</v>
      </c>
      <c r="B23" s="178"/>
      <c r="C23" s="168" t="s">
        <v>129</v>
      </c>
      <c r="D23" s="276">
        <f aca="true" t="shared" si="2" ref="D23:I23">D9+D13+D14+D19+D22</f>
        <v>393000</v>
      </c>
      <c r="E23" s="276">
        <f t="shared" si="2"/>
        <v>393000</v>
      </c>
      <c r="F23" s="276">
        <f t="shared" si="2"/>
        <v>400750</v>
      </c>
      <c r="G23" s="276">
        <f t="shared" si="2"/>
        <v>432629</v>
      </c>
      <c r="H23" s="276">
        <f t="shared" si="2"/>
        <v>2170248</v>
      </c>
      <c r="I23" s="276">
        <f t="shared" si="2"/>
        <v>0</v>
      </c>
      <c r="J23" s="376">
        <f>I23/H23</f>
        <v>0</v>
      </c>
      <c r="K23" s="157">
        <f aca="true" t="shared" si="3" ref="K23:Q23">K9+K13+K14+K19+K22</f>
        <v>0</v>
      </c>
      <c r="L23" s="276">
        <f t="shared" si="3"/>
        <v>393000</v>
      </c>
      <c r="M23" s="276">
        <f>M9+M13+M14+M19+M22</f>
        <v>393000</v>
      </c>
      <c r="N23" s="276">
        <f>N9+N13+N14+N19+N22</f>
        <v>400750</v>
      </c>
      <c r="O23" s="276">
        <f>O9+O13+O14+O19+O22</f>
        <v>432629</v>
      </c>
      <c r="P23" s="276">
        <f>P9+P13+P14+P19+P22</f>
        <v>2170248</v>
      </c>
      <c r="Q23" s="276">
        <f t="shared" si="3"/>
        <v>0</v>
      </c>
      <c r="R23" s="376">
        <f>Q23/P23</f>
        <v>0</v>
      </c>
      <c r="S23" s="460"/>
      <c r="T23" s="460"/>
      <c r="U23" s="218"/>
      <c r="V23" s="218"/>
      <c r="W23" s="218"/>
      <c r="X23" s="218"/>
      <c r="Y23" s="218"/>
      <c r="Z23" s="157"/>
      <c r="AA23" s="218"/>
    </row>
    <row r="24" spans="1:27" s="164" customFormat="1" ht="12" customHeight="1" thickBot="1">
      <c r="A24" s="179" t="s">
        <v>12</v>
      </c>
      <c r="B24" s="180"/>
      <c r="C24" s="181" t="s">
        <v>130</v>
      </c>
      <c r="D24" s="277">
        <f aca="true" t="shared" si="4" ref="D24:I24">SUM(D25:D27)</f>
        <v>96648440</v>
      </c>
      <c r="E24" s="277">
        <f t="shared" si="4"/>
        <v>96648440</v>
      </c>
      <c r="F24" s="277">
        <f t="shared" si="4"/>
        <v>96650376</v>
      </c>
      <c r="G24" s="277">
        <f t="shared" si="4"/>
        <v>96650376</v>
      </c>
      <c r="H24" s="277">
        <f t="shared" si="4"/>
        <v>96650376</v>
      </c>
      <c r="I24" s="277">
        <f t="shared" si="4"/>
        <v>0</v>
      </c>
      <c r="J24" s="376">
        <f>I24/H24</f>
        <v>0</v>
      </c>
      <c r="K24" s="607">
        <f aca="true" t="shared" si="5" ref="K24:Q24">SUM(K25:K27)</f>
        <v>0</v>
      </c>
      <c r="L24" s="277">
        <f t="shared" si="5"/>
        <v>96648440</v>
      </c>
      <c r="M24" s="277">
        <f>SUM(M25:M27)</f>
        <v>96648440</v>
      </c>
      <c r="N24" s="277">
        <f>SUM(N25:N27)</f>
        <v>96650376</v>
      </c>
      <c r="O24" s="277">
        <f>SUM(O25:O27)</f>
        <v>96650376</v>
      </c>
      <c r="P24" s="277">
        <f>SUM(P25:P27)</f>
        <v>96650376</v>
      </c>
      <c r="Q24" s="277">
        <f t="shared" si="5"/>
        <v>0</v>
      </c>
      <c r="R24" s="376">
        <f>Q24/P24</f>
        <v>0</v>
      </c>
      <c r="S24" s="277">
        <f aca="true" t="shared" si="6" ref="S24:X24">SUM(S25:S27)</f>
        <v>4847310</v>
      </c>
      <c r="T24" s="277">
        <f t="shared" si="6"/>
        <v>4847310</v>
      </c>
      <c r="U24" s="277">
        <f t="shared" si="6"/>
        <v>4847310</v>
      </c>
      <c r="V24" s="277">
        <f t="shared" si="6"/>
        <v>4847310</v>
      </c>
      <c r="W24" s="277">
        <f t="shared" si="6"/>
        <v>4847310</v>
      </c>
      <c r="X24" s="277">
        <f t="shared" si="6"/>
        <v>0</v>
      </c>
      <c r="Y24" s="218"/>
      <c r="Z24" s="157"/>
      <c r="AA24" s="218"/>
    </row>
    <row r="25" spans="1:27" s="164" customFormat="1" ht="15" customHeight="1" thickBot="1">
      <c r="A25" s="159"/>
      <c r="B25" s="182" t="s">
        <v>45</v>
      </c>
      <c r="C25" s="171" t="s">
        <v>132</v>
      </c>
      <c r="D25" s="220">
        <v>63983</v>
      </c>
      <c r="E25" s="220">
        <v>63983</v>
      </c>
      <c r="F25" s="220">
        <f>63983-564</f>
        <v>63419</v>
      </c>
      <c r="G25" s="220">
        <f>63983-564</f>
        <v>63419</v>
      </c>
      <c r="H25" s="220">
        <f>63983-564</f>
        <v>63419</v>
      </c>
      <c r="I25" s="891"/>
      <c r="J25" s="780"/>
      <c r="K25" s="172"/>
      <c r="L25" s="220">
        <v>63983</v>
      </c>
      <c r="M25" s="220">
        <v>63983</v>
      </c>
      <c r="N25" s="220">
        <f>63983-564</f>
        <v>63419</v>
      </c>
      <c r="O25" s="220">
        <f>63983-564</f>
        <v>63419</v>
      </c>
      <c r="P25" s="220">
        <f>63983-564</f>
        <v>63419</v>
      </c>
      <c r="Q25" s="891"/>
      <c r="R25" s="780"/>
      <c r="S25" s="220"/>
      <c r="T25" s="220"/>
      <c r="U25" s="220"/>
      <c r="V25" s="220"/>
      <c r="W25" s="220"/>
      <c r="X25" s="220"/>
      <c r="Y25" s="470"/>
      <c r="Z25" s="278"/>
      <c r="AA25" s="470"/>
    </row>
    <row r="26" spans="1:27" s="164" customFormat="1" ht="15" customHeight="1">
      <c r="A26" s="608"/>
      <c r="B26" s="609" t="s">
        <v>46</v>
      </c>
      <c r="C26" s="495" t="s">
        <v>281</v>
      </c>
      <c r="D26" s="611">
        <v>96584457</v>
      </c>
      <c r="E26" s="611">
        <v>96584457</v>
      </c>
      <c r="F26" s="611">
        <f>96584457+2500</f>
        <v>96586957</v>
      </c>
      <c r="G26" s="611">
        <f>96584457+2500</f>
        <v>96586957</v>
      </c>
      <c r="H26" s="611">
        <f>96584457+2500</f>
        <v>96586957</v>
      </c>
      <c r="I26" s="871"/>
      <c r="J26" s="780"/>
      <c r="K26" s="615"/>
      <c r="L26" s="611">
        <v>96584457</v>
      </c>
      <c r="M26" s="611">
        <v>96584457</v>
      </c>
      <c r="N26" s="611">
        <f>96584457+2500</f>
        <v>96586957</v>
      </c>
      <c r="O26" s="611">
        <f>96584457+2500</f>
        <v>96586957</v>
      </c>
      <c r="P26" s="611">
        <f>96584457+2500</f>
        <v>96586957</v>
      </c>
      <c r="Q26" s="871"/>
      <c r="R26" s="780"/>
      <c r="S26" s="612">
        <v>4847310</v>
      </c>
      <c r="T26" s="612">
        <v>4847310</v>
      </c>
      <c r="U26" s="612">
        <v>4847310</v>
      </c>
      <c r="V26" s="612">
        <v>4847310</v>
      </c>
      <c r="W26" s="612">
        <v>4847310</v>
      </c>
      <c r="X26" s="612"/>
      <c r="Y26" s="613"/>
      <c r="Z26" s="614"/>
      <c r="AA26" s="613"/>
    </row>
    <row r="27" spans="1:27" s="164" customFormat="1" ht="15" customHeight="1" thickBot="1">
      <c r="A27" s="183"/>
      <c r="B27" s="184" t="s">
        <v>73</v>
      </c>
      <c r="C27" s="185" t="s">
        <v>134</v>
      </c>
      <c r="D27" s="224"/>
      <c r="E27" s="224"/>
      <c r="F27" s="224"/>
      <c r="G27" s="224"/>
      <c r="H27" s="224"/>
      <c r="I27" s="872"/>
      <c r="J27" s="751"/>
      <c r="K27" s="186"/>
      <c r="L27" s="224"/>
      <c r="M27" s="224"/>
      <c r="N27" s="224"/>
      <c r="O27" s="224"/>
      <c r="P27" s="224"/>
      <c r="Q27" s="872"/>
      <c r="R27" s="751"/>
      <c r="S27" s="467"/>
      <c r="T27" s="467"/>
      <c r="U27" s="467"/>
      <c r="V27" s="467"/>
      <c r="W27" s="467"/>
      <c r="X27" s="467"/>
      <c r="Y27" s="224"/>
      <c r="Z27" s="186"/>
      <c r="AA27" s="224"/>
    </row>
    <row r="28" spans="1:27" ht="13.5" hidden="1" thickBot="1">
      <c r="A28" s="187" t="s">
        <v>13</v>
      </c>
      <c r="B28" s="188"/>
      <c r="C28" s="189" t="s">
        <v>135</v>
      </c>
      <c r="D28" s="273"/>
      <c r="E28" s="273"/>
      <c r="F28" s="273"/>
      <c r="G28" s="273"/>
      <c r="H28" s="273"/>
      <c r="I28" s="893"/>
      <c r="J28" s="752" t="e">
        <f>H28/F28</f>
        <v>#DIV/0!</v>
      </c>
      <c r="K28" s="177"/>
      <c r="L28" s="273"/>
      <c r="M28" s="273"/>
      <c r="N28" s="273"/>
      <c r="O28" s="273"/>
      <c r="P28" s="273"/>
      <c r="Q28" s="893"/>
      <c r="R28" s="752" t="e">
        <f>P28/N28</f>
        <v>#DIV/0!</v>
      </c>
      <c r="S28" s="465"/>
      <c r="T28" s="465"/>
      <c r="U28" s="465"/>
      <c r="V28" s="465"/>
      <c r="W28" s="465"/>
      <c r="X28" s="465"/>
      <c r="Y28" s="222"/>
      <c r="Z28" s="177"/>
      <c r="AA28" s="222"/>
    </row>
    <row r="29" spans="1:27" s="152" customFormat="1" ht="16.5" customHeight="1" thickBot="1">
      <c r="A29" s="187" t="s">
        <v>13</v>
      </c>
      <c r="B29" s="190"/>
      <c r="C29" s="191" t="s">
        <v>282</v>
      </c>
      <c r="D29" s="279">
        <f aca="true" t="shared" si="7" ref="D29:I29">D23+D28+D24</f>
        <v>97041440</v>
      </c>
      <c r="E29" s="279">
        <f t="shared" si="7"/>
        <v>97041440</v>
      </c>
      <c r="F29" s="279">
        <f t="shared" si="7"/>
        <v>97051126</v>
      </c>
      <c r="G29" s="279">
        <f t="shared" si="7"/>
        <v>97083005</v>
      </c>
      <c r="H29" s="279">
        <f t="shared" si="7"/>
        <v>98820624</v>
      </c>
      <c r="I29" s="279">
        <f t="shared" si="7"/>
        <v>0</v>
      </c>
      <c r="J29" s="376">
        <f>I29/H29</f>
        <v>0</v>
      </c>
      <c r="K29" s="210">
        <f aca="true" t="shared" si="8" ref="K29:Q29">K23+K28+K24</f>
        <v>0</v>
      </c>
      <c r="L29" s="279">
        <f t="shared" si="8"/>
        <v>97041440</v>
      </c>
      <c r="M29" s="279">
        <f>M23+M28+M24</f>
        <v>97041440</v>
      </c>
      <c r="N29" s="279">
        <f>N23+N28+N24</f>
        <v>97051126</v>
      </c>
      <c r="O29" s="279">
        <f>O23+O28+O24</f>
        <v>97083005</v>
      </c>
      <c r="P29" s="279">
        <f>P23+P28+P24</f>
        <v>98820624</v>
      </c>
      <c r="Q29" s="279">
        <f t="shared" si="8"/>
        <v>0</v>
      </c>
      <c r="R29" s="376">
        <f>Q29/P29</f>
        <v>0</v>
      </c>
      <c r="S29" s="279">
        <f aca="true" t="shared" si="9" ref="S29:X29">S23+S28+S24</f>
        <v>4847310</v>
      </c>
      <c r="T29" s="279">
        <f t="shared" si="9"/>
        <v>4847310</v>
      </c>
      <c r="U29" s="279">
        <f t="shared" si="9"/>
        <v>4847310</v>
      </c>
      <c r="V29" s="279">
        <f t="shared" si="9"/>
        <v>4847310</v>
      </c>
      <c r="W29" s="279">
        <f t="shared" si="9"/>
        <v>4847310</v>
      </c>
      <c r="X29" s="279">
        <f t="shared" si="9"/>
        <v>0</v>
      </c>
      <c r="Y29" s="225"/>
      <c r="Z29" s="210"/>
      <c r="AA29" s="225"/>
    </row>
    <row r="30" spans="1:20" s="196" customFormat="1" ht="12" customHeight="1">
      <c r="A30" s="193"/>
      <c r="B30" s="193"/>
      <c r="C30" s="194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</row>
    <row r="31" spans="1:20" ht="12" customHeight="1" thickBot="1">
      <c r="A31" s="197"/>
      <c r="B31" s="198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</row>
    <row r="32" spans="1:26" ht="12" customHeight="1" thickBot="1">
      <c r="A32" s="200"/>
      <c r="B32" s="201"/>
      <c r="C32" s="202" t="s">
        <v>137</v>
      </c>
      <c r="D32" s="216"/>
      <c r="E32" s="216"/>
      <c r="F32" s="216"/>
      <c r="G32" s="216"/>
      <c r="H32" s="216"/>
      <c r="I32" s="216"/>
      <c r="J32" s="216"/>
      <c r="K32" s="216"/>
      <c r="L32" s="225"/>
      <c r="M32" s="216"/>
      <c r="N32" s="216"/>
      <c r="O32" s="216"/>
      <c r="P32" s="216"/>
      <c r="Q32" s="216"/>
      <c r="R32" s="216"/>
      <c r="S32" s="468"/>
      <c r="T32" s="468"/>
      <c r="U32" s="225"/>
      <c r="V32" s="225"/>
      <c r="W32" s="225"/>
      <c r="X32" s="897"/>
      <c r="Y32" s="210"/>
      <c r="Z32" s="192"/>
    </row>
    <row r="33" spans="1:27" ht="12" customHeight="1" thickBot="1">
      <c r="A33" s="167" t="s">
        <v>29</v>
      </c>
      <c r="B33" s="203"/>
      <c r="C33" s="471" t="s">
        <v>138</v>
      </c>
      <c r="D33" s="460">
        <f aca="true" t="shared" si="10" ref="D33:I33">SUM(D34:D38)</f>
        <v>96152440</v>
      </c>
      <c r="E33" s="460">
        <f t="shared" si="10"/>
        <v>96152440</v>
      </c>
      <c r="F33" s="460">
        <f t="shared" si="10"/>
        <v>96162126</v>
      </c>
      <c r="G33" s="460">
        <f t="shared" si="10"/>
        <v>96194005</v>
      </c>
      <c r="H33" s="460">
        <f t="shared" si="10"/>
        <v>97931624</v>
      </c>
      <c r="I33" s="460">
        <f t="shared" si="10"/>
        <v>0</v>
      </c>
      <c r="J33" s="376">
        <f>I33/H33</f>
        <v>0</v>
      </c>
      <c r="K33" s="454">
        <f aca="true" t="shared" si="11" ref="K33:Q33">SUM(K34:K38)</f>
        <v>0</v>
      </c>
      <c r="L33" s="460">
        <f t="shared" si="11"/>
        <v>96152440</v>
      </c>
      <c r="M33" s="460">
        <f>SUM(M34:M38)</f>
        <v>96152440</v>
      </c>
      <c r="N33" s="460">
        <f>SUM(N34:N38)</f>
        <v>96162126</v>
      </c>
      <c r="O33" s="460">
        <f>SUM(O34:O38)</f>
        <v>96194005</v>
      </c>
      <c r="P33" s="460">
        <f>SUM(P34:P38)</f>
        <v>97931624</v>
      </c>
      <c r="Q33" s="460">
        <f t="shared" si="11"/>
        <v>0</v>
      </c>
      <c r="R33" s="376">
        <f>Q33/P33</f>
        <v>0</v>
      </c>
      <c r="S33" s="460">
        <f aca="true" t="shared" si="12" ref="S33:X33">SUM(S34:S38)</f>
        <v>4847310</v>
      </c>
      <c r="T33" s="460">
        <f t="shared" si="12"/>
        <v>4847310</v>
      </c>
      <c r="U33" s="460">
        <f t="shared" si="12"/>
        <v>4847310</v>
      </c>
      <c r="V33" s="460">
        <f t="shared" si="12"/>
        <v>4847310</v>
      </c>
      <c r="W33" s="460">
        <f t="shared" si="12"/>
        <v>4847310</v>
      </c>
      <c r="X33" s="460">
        <f t="shared" si="12"/>
        <v>0</v>
      </c>
      <c r="Y33" s="376">
        <f>X33/W33</f>
        <v>0</v>
      </c>
      <c r="Z33" s="483"/>
      <c r="AA33" s="157">
        <f>SUM(AA34:AA38)</f>
        <v>0</v>
      </c>
    </row>
    <row r="34" spans="1:27" ht="12" customHeight="1">
      <c r="A34" s="204"/>
      <c r="B34" s="205" t="s">
        <v>112</v>
      </c>
      <c r="C34" s="472" t="s">
        <v>139</v>
      </c>
      <c r="D34" s="478">
        <v>59462996</v>
      </c>
      <c r="E34" s="478">
        <v>59462996</v>
      </c>
      <c r="F34" s="478">
        <v>59462996</v>
      </c>
      <c r="G34" s="478">
        <f>59462996+2</f>
        <v>59462998</v>
      </c>
      <c r="H34" s="478">
        <f>59462996+2+1130000+90000</f>
        <v>60682998</v>
      </c>
      <c r="I34" s="503"/>
      <c r="J34" s="780"/>
      <c r="K34" s="778"/>
      <c r="L34" s="478">
        <v>59462996</v>
      </c>
      <c r="M34" s="478">
        <v>59462996</v>
      </c>
      <c r="N34" s="478">
        <v>59462996</v>
      </c>
      <c r="O34" s="478">
        <f>59462996+2</f>
        <v>59462998</v>
      </c>
      <c r="P34" s="478">
        <f>59462996+2+1130000+90000</f>
        <v>60682998</v>
      </c>
      <c r="Q34" s="503"/>
      <c r="R34" s="780"/>
      <c r="S34" s="462">
        <v>2225600</v>
      </c>
      <c r="T34" s="462">
        <v>2225600</v>
      </c>
      <c r="U34" s="462">
        <v>2225600</v>
      </c>
      <c r="V34" s="462">
        <v>2225600</v>
      </c>
      <c r="W34" s="462">
        <v>2225600</v>
      </c>
      <c r="X34" s="462"/>
      <c r="Y34" s="780">
        <f>X34/W34</f>
        <v>0</v>
      </c>
      <c r="Z34" s="484"/>
      <c r="AA34" s="163"/>
    </row>
    <row r="35" spans="1:27" ht="12" customHeight="1">
      <c r="A35" s="206"/>
      <c r="B35" s="207" t="s">
        <v>113</v>
      </c>
      <c r="C35" s="473" t="s">
        <v>52</v>
      </c>
      <c r="D35" s="479">
        <v>16160618</v>
      </c>
      <c r="E35" s="479">
        <v>16160618</v>
      </c>
      <c r="F35" s="479">
        <v>16160618</v>
      </c>
      <c r="G35" s="479">
        <f>16160618+8429</f>
        <v>16169047</v>
      </c>
      <c r="H35" s="479">
        <f>16160618+8429+305100+44982</f>
        <v>16519129</v>
      </c>
      <c r="I35" s="504"/>
      <c r="J35" s="780"/>
      <c r="K35" s="486"/>
      <c r="L35" s="479">
        <v>16160618</v>
      </c>
      <c r="M35" s="479">
        <v>16160618</v>
      </c>
      <c r="N35" s="479">
        <v>16160618</v>
      </c>
      <c r="O35" s="479">
        <f>16160618+8429</f>
        <v>16169047</v>
      </c>
      <c r="P35" s="479">
        <f>16160618+8429+305100+44982</f>
        <v>16519129</v>
      </c>
      <c r="Q35" s="504"/>
      <c r="R35" s="780"/>
      <c r="S35" s="462">
        <v>568827</v>
      </c>
      <c r="T35" s="462">
        <v>568827</v>
      </c>
      <c r="U35" s="462">
        <v>568827</v>
      </c>
      <c r="V35" s="462">
        <v>568827</v>
      </c>
      <c r="W35" s="462">
        <v>568827</v>
      </c>
      <c r="X35" s="462"/>
      <c r="Y35" s="780">
        <f>X35/W35</f>
        <v>0</v>
      </c>
      <c r="Z35" s="484"/>
      <c r="AA35" s="163"/>
    </row>
    <row r="36" spans="1:27" ht="12" customHeight="1">
      <c r="A36" s="206"/>
      <c r="B36" s="207" t="s">
        <v>114</v>
      </c>
      <c r="C36" s="473" t="s">
        <v>140</v>
      </c>
      <c r="D36" s="479">
        <v>20528826</v>
      </c>
      <c r="E36" s="479">
        <v>20528826</v>
      </c>
      <c r="F36" s="479">
        <f>20528826+7186</f>
        <v>20536012</v>
      </c>
      <c r="G36" s="479">
        <f>20528826+7186+23448</f>
        <v>20559460</v>
      </c>
      <c r="H36" s="479">
        <f>20528826+7186+23448+3600+163937</f>
        <v>20726997</v>
      </c>
      <c r="I36" s="504"/>
      <c r="J36" s="780"/>
      <c r="K36" s="486"/>
      <c r="L36" s="479">
        <v>20528826</v>
      </c>
      <c r="M36" s="479">
        <v>20528826</v>
      </c>
      <c r="N36" s="479">
        <f>20528826+7186</f>
        <v>20536012</v>
      </c>
      <c r="O36" s="479">
        <f>20528826+7186+23448</f>
        <v>20559460</v>
      </c>
      <c r="P36" s="479">
        <f>20528826+7186+23448+3600+163937</f>
        <v>20726997</v>
      </c>
      <c r="Q36" s="504"/>
      <c r="R36" s="780"/>
      <c r="S36" s="462">
        <v>2052883</v>
      </c>
      <c r="T36" s="462">
        <v>2052883</v>
      </c>
      <c r="U36" s="462">
        <v>2052883</v>
      </c>
      <c r="V36" s="462">
        <v>2052883</v>
      </c>
      <c r="W36" s="462">
        <v>2052883</v>
      </c>
      <c r="X36" s="462"/>
      <c r="Y36" s="780">
        <f>X36/W36</f>
        <v>0</v>
      </c>
      <c r="Z36" s="484"/>
      <c r="AA36" s="163"/>
    </row>
    <row r="37" spans="1:27" s="196" customFormat="1" ht="12" customHeight="1">
      <c r="A37" s="206"/>
      <c r="B37" s="207" t="s">
        <v>115</v>
      </c>
      <c r="C37" s="473" t="s">
        <v>83</v>
      </c>
      <c r="D37" s="479"/>
      <c r="E37" s="479"/>
      <c r="F37" s="479">
        <v>2500</v>
      </c>
      <c r="G37" s="479">
        <v>2500</v>
      </c>
      <c r="H37" s="479">
        <v>2500</v>
      </c>
      <c r="I37" s="894"/>
      <c r="J37" s="780"/>
      <c r="K37" s="486"/>
      <c r="L37" s="479"/>
      <c r="M37" s="479"/>
      <c r="N37" s="479">
        <v>2500</v>
      </c>
      <c r="O37" s="479">
        <v>2500</v>
      </c>
      <c r="P37" s="479">
        <v>2500</v>
      </c>
      <c r="Q37" s="894"/>
      <c r="R37" s="780"/>
      <c r="S37" s="462"/>
      <c r="T37" s="462"/>
      <c r="U37" s="462"/>
      <c r="V37" s="462"/>
      <c r="W37" s="462"/>
      <c r="X37" s="219"/>
      <c r="Y37" s="163"/>
      <c r="Z37" s="485"/>
      <c r="AA37" s="163"/>
    </row>
    <row r="38" spans="1:27" ht="12" customHeight="1" thickBot="1">
      <c r="A38" s="206"/>
      <c r="B38" s="207" t="s">
        <v>51</v>
      </c>
      <c r="C38" s="473" t="s">
        <v>85</v>
      </c>
      <c r="D38" s="479"/>
      <c r="E38" s="479"/>
      <c r="F38" s="479"/>
      <c r="G38" s="479"/>
      <c r="H38" s="479"/>
      <c r="I38" s="504"/>
      <c r="J38" s="780"/>
      <c r="K38" s="486"/>
      <c r="L38" s="479"/>
      <c r="M38" s="479"/>
      <c r="N38" s="479"/>
      <c r="O38" s="479"/>
      <c r="P38" s="479"/>
      <c r="Q38" s="504"/>
      <c r="R38" s="780"/>
      <c r="S38" s="479"/>
      <c r="T38" s="479"/>
      <c r="U38" s="479"/>
      <c r="V38" s="479"/>
      <c r="W38" s="479"/>
      <c r="X38" s="227"/>
      <c r="Y38" s="208"/>
      <c r="Z38" s="486"/>
      <c r="AA38" s="208"/>
    </row>
    <row r="39" spans="1:27" ht="12" customHeight="1" thickBot="1">
      <c r="A39" s="167" t="s">
        <v>30</v>
      </c>
      <c r="B39" s="203"/>
      <c r="C39" s="471" t="s">
        <v>141</v>
      </c>
      <c r="D39" s="460">
        <f aca="true" t="shared" si="13" ref="D39:I39">SUM(D40:D43)</f>
        <v>889000</v>
      </c>
      <c r="E39" s="460">
        <f t="shared" si="13"/>
        <v>889000</v>
      </c>
      <c r="F39" s="460">
        <f t="shared" si="13"/>
        <v>889000</v>
      </c>
      <c r="G39" s="460">
        <f t="shared" si="13"/>
        <v>889000</v>
      </c>
      <c r="H39" s="460">
        <f t="shared" si="13"/>
        <v>889000</v>
      </c>
      <c r="I39" s="460">
        <f t="shared" si="13"/>
        <v>0</v>
      </c>
      <c r="J39" s="376">
        <f>I39/H39</f>
        <v>0</v>
      </c>
      <c r="K39" s="454">
        <f aca="true" t="shared" si="14" ref="K39:Q39">SUM(K40:K43)</f>
        <v>0</v>
      </c>
      <c r="L39" s="460">
        <f t="shared" si="14"/>
        <v>889000</v>
      </c>
      <c r="M39" s="460">
        <f>SUM(M40:M43)</f>
        <v>889000</v>
      </c>
      <c r="N39" s="460">
        <f>SUM(N40:N43)</f>
        <v>889000</v>
      </c>
      <c r="O39" s="460">
        <f>SUM(O40:O43)</f>
        <v>889000</v>
      </c>
      <c r="P39" s="460">
        <f>SUM(P40:P43)</f>
        <v>889000</v>
      </c>
      <c r="Q39" s="460">
        <f t="shared" si="14"/>
        <v>0</v>
      </c>
      <c r="R39" s="376">
        <f>Q39/P39</f>
        <v>0</v>
      </c>
      <c r="S39" s="460">
        <f aca="true" t="shared" si="15" ref="S39:Y39">SUM(S40:S43)</f>
        <v>0</v>
      </c>
      <c r="T39" s="460">
        <f t="shared" si="15"/>
        <v>0</v>
      </c>
      <c r="U39" s="460">
        <f t="shared" si="15"/>
        <v>0</v>
      </c>
      <c r="V39" s="460">
        <f t="shared" si="15"/>
        <v>0</v>
      </c>
      <c r="W39" s="460">
        <f t="shared" si="15"/>
        <v>0</v>
      </c>
      <c r="X39" s="218">
        <f t="shared" si="15"/>
        <v>0</v>
      </c>
      <c r="Y39" s="157">
        <f t="shared" si="15"/>
        <v>0</v>
      </c>
      <c r="Z39" s="454"/>
      <c r="AA39" s="157">
        <f>SUM(AA40:AA43)</f>
        <v>0</v>
      </c>
    </row>
    <row r="40" spans="1:27" ht="12" customHeight="1">
      <c r="A40" s="204"/>
      <c r="B40" s="205" t="s">
        <v>142</v>
      </c>
      <c r="C40" s="472" t="s">
        <v>95</v>
      </c>
      <c r="D40" s="478">
        <v>889000</v>
      </c>
      <c r="E40" s="478">
        <v>889000</v>
      </c>
      <c r="F40" s="478">
        <v>889000</v>
      </c>
      <c r="G40" s="478">
        <v>889000</v>
      </c>
      <c r="H40" s="478">
        <v>889000</v>
      </c>
      <c r="I40" s="503"/>
      <c r="J40" s="780"/>
      <c r="K40" s="778"/>
      <c r="L40" s="478">
        <v>889000</v>
      </c>
      <c r="M40" s="478">
        <v>889000</v>
      </c>
      <c r="N40" s="478">
        <v>889000</v>
      </c>
      <c r="O40" s="478">
        <v>889000</v>
      </c>
      <c r="P40" s="478">
        <v>889000</v>
      </c>
      <c r="Q40" s="503"/>
      <c r="R40" s="780">
        <f>Q40/P40</f>
        <v>0</v>
      </c>
      <c r="S40" s="462"/>
      <c r="T40" s="462"/>
      <c r="U40" s="462"/>
      <c r="V40" s="462"/>
      <c r="W40" s="462"/>
      <c r="X40" s="219"/>
      <c r="Y40" s="163"/>
      <c r="Z40" s="485"/>
      <c r="AA40" s="163"/>
    </row>
    <row r="41" spans="1:27" ht="12" customHeight="1">
      <c r="A41" s="206"/>
      <c r="B41" s="207" t="s">
        <v>143</v>
      </c>
      <c r="C41" s="473" t="s">
        <v>96</v>
      </c>
      <c r="D41" s="479">
        <v>0</v>
      </c>
      <c r="E41" s="479">
        <v>0</v>
      </c>
      <c r="F41" s="479">
        <v>0</v>
      </c>
      <c r="G41" s="479">
        <v>0</v>
      </c>
      <c r="H41" s="479">
        <v>0</v>
      </c>
      <c r="I41" s="894"/>
      <c r="J41" s="227"/>
      <c r="K41" s="486">
        <v>0</v>
      </c>
      <c r="L41" s="479">
        <v>0</v>
      </c>
      <c r="M41" s="479">
        <v>0</v>
      </c>
      <c r="N41" s="479">
        <v>0</v>
      </c>
      <c r="O41" s="479">
        <v>0</v>
      </c>
      <c r="P41" s="479">
        <v>0</v>
      </c>
      <c r="Q41" s="894"/>
      <c r="R41" s="227"/>
      <c r="S41" s="479"/>
      <c r="T41" s="479"/>
      <c r="U41" s="479"/>
      <c r="V41" s="479"/>
      <c r="W41" s="479"/>
      <c r="X41" s="227"/>
      <c r="Y41" s="208"/>
      <c r="Z41" s="486"/>
      <c r="AA41" s="208"/>
    </row>
    <row r="42" spans="1:27" ht="15" customHeight="1">
      <c r="A42" s="206"/>
      <c r="B42" s="207" t="s">
        <v>144</v>
      </c>
      <c r="C42" s="473" t="s">
        <v>145</v>
      </c>
      <c r="D42" s="479"/>
      <c r="E42" s="479"/>
      <c r="F42" s="479"/>
      <c r="G42" s="479"/>
      <c r="H42" s="479"/>
      <c r="I42" s="894"/>
      <c r="J42" s="227"/>
      <c r="K42" s="486"/>
      <c r="L42" s="479"/>
      <c r="M42" s="479"/>
      <c r="N42" s="479"/>
      <c r="O42" s="479"/>
      <c r="P42" s="479"/>
      <c r="Q42" s="894"/>
      <c r="R42" s="227"/>
      <c r="S42" s="479"/>
      <c r="T42" s="479"/>
      <c r="U42" s="479"/>
      <c r="V42" s="479"/>
      <c r="W42" s="479"/>
      <c r="X42" s="227"/>
      <c r="Y42" s="208"/>
      <c r="Z42" s="486"/>
      <c r="AA42" s="208"/>
    </row>
    <row r="43" spans="1:27" ht="23.25" thickBot="1">
      <c r="A43" s="206"/>
      <c r="B43" s="207" t="s">
        <v>146</v>
      </c>
      <c r="C43" s="473" t="s">
        <v>147</v>
      </c>
      <c r="D43" s="479"/>
      <c r="E43" s="479"/>
      <c r="F43" s="479"/>
      <c r="G43" s="479"/>
      <c r="H43" s="479"/>
      <c r="I43" s="894"/>
      <c r="J43" s="227"/>
      <c r="K43" s="486"/>
      <c r="L43" s="479"/>
      <c r="M43" s="479"/>
      <c r="N43" s="479"/>
      <c r="O43" s="479"/>
      <c r="P43" s="479"/>
      <c r="Q43" s="894"/>
      <c r="R43" s="227"/>
      <c r="S43" s="479"/>
      <c r="T43" s="479"/>
      <c r="U43" s="479"/>
      <c r="V43" s="479"/>
      <c r="W43" s="479"/>
      <c r="X43" s="227"/>
      <c r="Y43" s="208"/>
      <c r="Z43" s="486"/>
      <c r="AA43" s="208"/>
    </row>
    <row r="44" spans="1:27" ht="15" customHeight="1" hidden="1" thickBot="1">
      <c r="A44" s="167" t="s">
        <v>10</v>
      </c>
      <c r="B44" s="203"/>
      <c r="C44" s="474" t="s">
        <v>148</v>
      </c>
      <c r="D44" s="465"/>
      <c r="E44" s="465"/>
      <c r="F44" s="465"/>
      <c r="G44" s="465"/>
      <c r="H44" s="465"/>
      <c r="I44" s="273"/>
      <c r="J44" s="222"/>
      <c r="K44" s="455"/>
      <c r="L44" s="465"/>
      <c r="M44" s="465"/>
      <c r="N44" s="465"/>
      <c r="O44" s="465"/>
      <c r="P44" s="465"/>
      <c r="Q44" s="273"/>
      <c r="R44" s="222"/>
      <c r="S44" s="465"/>
      <c r="T44" s="465"/>
      <c r="U44" s="465"/>
      <c r="V44" s="465"/>
      <c r="W44" s="465"/>
      <c r="X44" s="222"/>
      <c r="Y44" s="177"/>
      <c r="Z44" s="455"/>
      <c r="AA44" s="177"/>
    </row>
    <row r="45" spans="1:27" ht="14.25" customHeight="1" hidden="1" thickBot="1">
      <c r="A45" s="187" t="s">
        <v>11</v>
      </c>
      <c r="B45" s="188"/>
      <c r="C45" s="475" t="s">
        <v>149</v>
      </c>
      <c r="D45" s="465"/>
      <c r="E45" s="465"/>
      <c r="F45" s="465"/>
      <c r="G45" s="465"/>
      <c r="H45" s="465"/>
      <c r="I45" s="273"/>
      <c r="J45" s="222"/>
      <c r="K45" s="455"/>
      <c r="L45" s="465"/>
      <c r="M45" s="465"/>
      <c r="N45" s="465"/>
      <c r="O45" s="465"/>
      <c r="P45" s="465"/>
      <c r="Q45" s="273"/>
      <c r="R45" s="222"/>
      <c r="S45" s="465"/>
      <c r="T45" s="465"/>
      <c r="U45" s="465"/>
      <c r="V45" s="465"/>
      <c r="W45" s="465"/>
      <c r="X45" s="222"/>
      <c r="Y45" s="177"/>
      <c r="Z45" s="455"/>
      <c r="AA45" s="177"/>
    </row>
    <row r="46" spans="1:27" ht="13.5" thickBot="1">
      <c r="A46" s="167" t="s">
        <v>10</v>
      </c>
      <c r="B46" s="209"/>
      <c r="C46" s="476" t="s">
        <v>283</v>
      </c>
      <c r="D46" s="468">
        <f aca="true" t="shared" si="16" ref="D46:I46">D33+D39+D44+D45</f>
        <v>97041440</v>
      </c>
      <c r="E46" s="468">
        <f t="shared" si="16"/>
        <v>97041440</v>
      </c>
      <c r="F46" s="468">
        <f>F33+F39+F44+F45</f>
        <v>97051126</v>
      </c>
      <c r="G46" s="468">
        <f>G33+G39+G44+G45</f>
        <v>97083005</v>
      </c>
      <c r="H46" s="468">
        <f>H33+H39+H44+H45</f>
        <v>98820624</v>
      </c>
      <c r="I46" s="468">
        <f t="shared" si="16"/>
        <v>0</v>
      </c>
      <c r="J46" s="376">
        <f>I46/H46</f>
        <v>0</v>
      </c>
      <c r="K46" s="192">
        <f aca="true" t="shared" si="17" ref="K46:Q46">K33+K39+K44+K45</f>
        <v>0</v>
      </c>
      <c r="L46" s="468">
        <f t="shared" si="17"/>
        <v>97041440</v>
      </c>
      <c r="M46" s="468">
        <f t="shared" si="17"/>
        <v>97041440</v>
      </c>
      <c r="N46" s="468">
        <f t="shared" si="17"/>
        <v>97051126</v>
      </c>
      <c r="O46" s="468">
        <f>O33+O39+O44+O45</f>
        <v>97083005</v>
      </c>
      <c r="P46" s="468">
        <f>P33+P39+P44+P45</f>
        <v>98820624</v>
      </c>
      <c r="Q46" s="468">
        <f t="shared" si="17"/>
        <v>0</v>
      </c>
      <c r="R46" s="376">
        <f>Q46/P46</f>
        <v>0</v>
      </c>
      <c r="S46" s="468">
        <f aca="true" t="shared" si="18" ref="S46:X46">S33+S39+S44+S45</f>
        <v>4847310</v>
      </c>
      <c r="T46" s="468">
        <f t="shared" si="18"/>
        <v>4847310</v>
      </c>
      <c r="U46" s="468">
        <f t="shared" si="18"/>
        <v>4847310</v>
      </c>
      <c r="V46" s="468">
        <f t="shared" si="18"/>
        <v>4847310</v>
      </c>
      <c r="W46" s="468">
        <f t="shared" si="18"/>
        <v>4847310</v>
      </c>
      <c r="X46" s="225">
        <f t="shared" si="18"/>
        <v>0</v>
      </c>
      <c r="Y46" s="376">
        <f>X46/W46</f>
        <v>0</v>
      </c>
      <c r="Z46" s="487">
        <f>Y46/W46</f>
        <v>0</v>
      </c>
      <c r="AA46" s="210">
        <f>AA33+AA39+AA44+AA45</f>
        <v>0</v>
      </c>
    </row>
    <row r="47" spans="1:27" ht="13.5" thickBot="1">
      <c r="A47" s="211"/>
      <c r="B47" s="212"/>
      <c r="C47" s="212"/>
      <c r="D47" s="488"/>
      <c r="E47" s="488"/>
      <c r="F47" s="488"/>
      <c r="G47" s="488"/>
      <c r="H47" s="488"/>
      <c r="I47" s="895"/>
      <c r="J47" s="489"/>
      <c r="K47" s="779"/>
      <c r="L47" s="488"/>
      <c r="M47" s="488"/>
      <c r="N47" s="488"/>
      <c r="O47" s="488"/>
      <c r="P47" s="488"/>
      <c r="Q47" s="895"/>
      <c r="R47" s="489"/>
      <c r="S47" s="488"/>
      <c r="T47" s="488"/>
      <c r="U47" s="488"/>
      <c r="V47" s="488"/>
      <c r="W47" s="488"/>
      <c r="X47" s="490"/>
      <c r="Y47" s="491"/>
      <c r="AA47" s="491"/>
    </row>
    <row r="48" spans="1:27" ht="13.5" thickBot="1">
      <c r="A48" s="213" t="s">
        <v>151</v>
      </c>
      <c r="B48" s="214"/>
      <c r="C48" s="477"/>
      <c r="D48" s="492">
        <v>20</v>
      </c>
      <c r="E48" s="492">
        <v>20</v>
      </c>
      <c r="F48" s="492">
        <v>21</v>
      </c>
      <c r="G48" s="492">
        <v>21</v>
      </c>
      <c r="H48" s="492">
        <v>21</v>
      </c>
      <c r="I48" s="896"/>
      <c r="J48" s="376"/>
      <c r="K48" s="229"/>
      <c r="L48" s="492">
        <v>20</v>
      </c>
      <c r="M48" s="492">
        <v>20</v>
      </c>
      <c r="N48" s="492">
        <v>21</v>
      </c>
      <c r="O48" s="492">
        <v>21</v>
      </c>
      <c r="P48" s="492">
        <v>21</v>
      </c>
      <c r="Q48" s="896"/>
      <c r="R48" s="376"/>
      <c r="S48" s="492">
        <v>0</v>
      </c>
      <c r="T48" s="492">
        <v>0</v>
      </c>
      <c r="U48" s="492">
        <v>0</v>
      </c>
      <c r="V48" s="492">
        <v>0</v>
      </c>
      <c r="W48" s="492">
        <v>0</v>
      </c>
      <c r="X48" s="230"/>
      <c r="Y48" s="376" t="e">
        <f>X48/W48</f>
        <v>#DIV/0!</v>
      </c>
      <c r="Z48" s="229"/>
      <c r="AA48" s="480"/>
    </row>
    <row r="49" spans="1:27" ht="13.5" thickBot="1">
      <c r="A49" s="213" t="s">
        <v>152</v>
      </c>
      <c r="B49" s="214"/>
      <c r="C49" s="477"/>
      <c r="D49" s="492">
        <v>0</v>
      </c>
      <c r="E49" s="492">
        <v>0</v>
      </c>
      <c r="F49" s="492">
        <v>0</v>
      </c>
      <c r="G49" s="492">
        <v>0</v>
      </c>
      <c r="H49" s="492">
        <v>0</v>
      </c>
      <c r="I49" s="896">
        <v>0</v>
      </c>
      <c r="J49" s="376"/>
      <c r="K49" s="229"/>
      <c r="L49" s="492">
        <v>0</v>
      </c>
      <c r="M49" s="492">
        <v>0</v>
      </c>
      <c r="N49" s="492">
        <v>0</v>
      </c>
      <c r="O49" s="492">
        <v>0</v>
      </c>
      <c r="P49" s="492">
        <v>0</v>
      </c>
      <c r="Q49" s="896">
        <v>0</v>
      </c>
      <c r="R49" s="376"/>
      <c r="S49" s="492">
        <v>0</v>
      </c>
      <c r="T49" s="492">
        <v>0</v>
      </c>
      <c r="U49" s="492">
        <v>0</v>
      </c>
      <c r="V49" s="492">
        <v>0</v>
      </c>
      <c r="W49" s="492">
        <v>0</v>
      </c>
      <c r="X49" s="230">
        <v>0</v>
      </c>
      <c r="Y49" s="480"/>
      <c r="Z49" s="229"/>
      <c r="AA49" s="480"/>
    </row>
    <row r="50" spans="6:18" ht="7.5" customHeight="1">
      <c r="F50" s="231"/>
      <c r="G50" s="231"/>
      <c r="H50" s="231"/>
      <c r="I50" s="231"/>
      <c r="J50" s="231"/>
      <c r="K50" s="231"/>
      <c r="N50" s="231"/>
      <c r="O50" s="231"/>
      <c r="P50" s="231"/>
      <c r="Q50" s="231"/>
      <c r="R50" s="231"/>
    </row>
    <row r="51" spans="1:18" ht="12.75">
      <c r="A51" s="1099" t="s">
        <v>213</v>
      </c>
      <c r="B51" s="1099"/>
      <c r="C51" s="1099"/>
      <c r="J51" s="148">
        <v>100213</v>
      </c>
      <c r="N51" s="231"/>
      <c r="O51" s="231"/>
      <c r="P51" s="231"/>
      <c r="Q51" s="231"/>
      <c r="R51" s="231"/>
    </row>
    <row r="52" spans="4:11" ht="12.75">
      <c r="D52" s="231">
        <v>0</v>
      </c>
      <c r="E52" s="231"/>
      <c r="F52" s="231"/>
      <c r="G52" s="231"/>
      <c r="H52" s="231"/>
      <c r="I52" s="231"/>
      <c r="J52" s="231"/>
      <c r="K52" s="231"/>
    </row>
  </sheetData>
  <sheetProtection/>
  <mergeCells count="7">
    <mergeCell ref="C1:S1"/>
    <mergeCell ref="A5:B5"/>
    <mergeCell ref="A3:S3"/>
    <mergeCell ref="A51:C51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D1">
      <selection activeCell="H44" sqref="H44"/>
    </sheetView>
  </sheetViews>
  <sheetFormatPr defaultColWidth="9.140625" defaultRowHeight="12.75"/>
  <cols>
    <col min="1" max="1" width="8.28125" style="317" customWidth="1"/>
    <col min="2" max="2" width="8.28125" style="311" customWidth="1"/>
    <col min="3" max="3" width="52.00390625" style="311" customWidth="1"/>
    <col min="4" max="4" width="13.28125" style="311" customWidth="1"/>
    <col min="5" max="5" width="11.28125" style="311" bestFit="1" customWidth="1"/>
    <col min="6" max="6" width="11.00390625" style="311" customWidth="1"/>
    <col min="7" max="7" width="12.140625" style="311" customWidth="1"/>
    <col min="8" max="8" width="12.28125" style="311" customWidth="1"/>
    <col min="9" max="9" width="8.28125" style="311" hidden="1" customWidth="1"/>
    <col min="10" max="10" width="9.8515625" style="311" hidden="1" customWidth="1"/>
    <col min="11" max="11" width="9.7109375" style="311" hidden="1" customWidth="1"/>
    <col min="12" max="12" width="13.7109375" style="311" customWidth="1"/>
    <col min="13" max="13" width="11.28125" style="311" bestFit="1" customWidth="1"/>
    <col min="14" max="14" width="14.00390625" style="311" customWidth="1"/>
    <col min="15" max="15" width="11.28125" style="311" bestFit="1" customWidth="1"/>
    <col min="16" max="16" width="12.28125" style="311" customWidth="1"/>
    <col min="17" max="17" width="9.421875" style="311" hidden="1" customWidth="1"/>
    <col min="18" max="18" width="8.421875" style="311" hidden="1" customWidth="1"/>
    <col min="19" max="19" width="13.57421875" style="311" bestFit="1" customWidth="1"/>
    <col min="20" max="20" width="6.28125" style="311" customWidth="1"/>
    <col min="21" max="21" width="7.140625" style="311" customWidth="1"/>
    <col min="22" max="22" width="8.57421875" style="311" customWidth="1"/>
    <col min="23" max="23" width="9.140625" style="311" customWidth="1"/>
    <col min="24" max="16384" width="9.140625" style="311" customWidth="1"/>
  </cols>
  <sheetData>
    <row r="1" spans="1:19" s="140" customFormat="1" ht="21" customHeight="1">
      <c r="A1" s="136"/>
      <c r="B1" s="137"/>
      <c r="C1" s="138"/>
      <c r="D1" s="139"/>
      <c r="E1" s="139"/>
      <c r="F1" s="139"/>
      <c r="G1" s="139"/>
      <c r="H1" s="139"/>
      <c r="I1" s="139"/>
      <c r="J1" s="139"/>
      <c r="K1" s="139"/>
      <c r="L1" s="1095" t="s">
        <v>199</v>
      </c>
      <c r="M1" s="1095"/>
      <c r="N1" s="1095"/>
      <c r="O1" s="1095"/>
      <c r="P1" s="1095"/>
      <c r="Q1" s="1095"/>
      <c r="R1" s="1095"/>
      <c r="S1" s="1095"/>
    </row>
    <row r="2" spans="1:11" s="140" customFormat="1" ht="21" customHeight="1">
      <c r="A2" s="251"/>
      <c r="B2" s="137"/>
      <c r="C2" s="142"/>
      <c r="D2" s="141"/>
      <c r="E2" s="141"/>
      <c r="F2" s="141"/>
      <c r="G2" s="141"/>
      <c r="H2" s="141"/>
      <c r="I2" s="141"/>
      <c r="J2" s="141"/>
      <c r="K2" s="141"/>
    </row>
    <row r="3" spans="1:19" s="143" customFormat="1" ht="25.5" customHeight="1">
      <c r="A3" s="1098" t="s">
        <v>215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</row>
    <row r="4" spans="1:19" s="146" customFormat="1" ht="15.75" customHeight="1" thickBot="1">
      <c r="A4" s="144"/>
      <c r="B4" s="144"/>
      <c r="C4" s="144"/>
      <c r="S4" s="145" t="s">
        <v>507</v>
      </c>
    </row>
    <row r="5" spans="1:22" s="146" customFormat="1" ht="41.25" customHeight="1" thickBot="1">
      <c r="A5" s="144"/>
      <c r="B5" s="144"/>
      <c r="C5" s="144"/>
      <c r="D5" s="1105" t="s">
        <v>5</v>
      </c>
      <c r="E5" s="1106"/>
      <c r="F5" s="1106"/>
      <c r="G5" s="1106"/>
      <c r="H5" s="1106"/>
      <c r="I5" s="1106"/>
      <c r="J5" s="1106"/>
      <c r="K5" s="1107"/>
      <c r="L5" s="1105" t="s">
        <v>107</v>
      </c>
      <c r="M5" s="1106"/>
      <c r="N5" s="1106"/>
      <c r="O5" s="1106"/>
      <c r="P5" s="1106"/>
      <c r="Q5" s="1106"/>
      <c r="R5" s="1107"/>
      <c r="S5" s="1105" t="s">
        <v>154</v>
      </c>
      <c r="T5" s="1106"/>
      <c r="U5" s="1106"/>
      <c r="V5" s="1106"/>
    </row>
    <row r="6" spans="1:22" ht="24.75" thickBot="1">
      <c r="A6" s="1096" t="s">
        <v>108</v>
      </c>
      <c r="B6" s="1097"/>
      <c r="C6" s="493" t="s">
        <v>109</v>
      </c>
      <c r="D6" s="482" t="s">
        <v>67</v>
      </c>
      <c r="E6" s="147" t="s">
        <v>231</v>
      </c>
      <c r="F6" s="147" t="s">
        <v>234</v>
      </c>
      <c r="G6" s="147" t="s">
        <v>237</v>
      </c>
      <c r="H6" s="493" t="s">
        <v>251</v>
      </c>
      <c r="I6" s="493" t="s">
        <v>256</v>
      </c>
      <c r="J6" s="453" t="s">
        <v>240</v>
      </c>
      <c r="K6" s="452" t="s">
        <v>255</v>
      </c>
      <c r="L6" s="482" t="s">
        <v>67</v>
      </c>
      <c r="M6" s="147" t="s">
        <v>231</v>
      </c>
      <c r="N6" s="147" t="s">
        <v>234</v>
      </c>
      <c r="O6" s="147" t="s">
        <v>237</v>
      </c>
      <c r="P6" s="493" t="s">
        <v>251</v>
      </c>
      <c r="Q6" s="493" t="s">
        <v>256</v>
      </c>
      <c r="R6" s="453" t="s">
        <v>240</v>
      </c>
      <c r="S6" s="482" t="s">
        <v>67</v>
      </c>
      <c r="T6" s="147" t="s">
        <v>231</v>
      </c>
      <c r="U6" s="147" t="s">
        <v>234</v>
      </c>
      <c r="V6" s="147" t="s">
        <v>593</v>
      </c>
    </row>
    <row r="7" spans="1:22" s="152" customFormat="1" ht="12.75" customHeight="1" thickBot="1">
      <c r="A7" s="149">
        <v>1</v>
      </c>
      <c r="B7" s="150">
        <v>2</v>
      </c>
      <c r="C7" s="297">
        <v>3</v>
      </c>
      <c r="D7" s="149">
        <v>4</v>
      </c>
      <c r="E7" s="150">
        <v>5</v>
      </c>
      <c r="F7" s="150">
        <v>6</v>
      </c>
      <c r="G7" s="150">
        <v>7</v>
      </c>
      <c r="H7" s="297">
        <v>8</v>
      </c>
      <c r="I7" s="297">
        <v>9</v>
      </c>
      <c r="J7" s="151">
        <v>9</v>
      </c>
      <c r="K7" s="781">
        <v>9</v>
      </c>
      <c r="L7" s="149">
        <v>9</v>
      </c>
      <c r="M7" s="150">
        <v>10</v>
      </c>
      <c r="N7" s="150">
        <v>11</v>
      </c>
      <c r="O7" s="150">
        <v>12</v>
      </c>
      <c r="P7" s="297">
        <v>13</v>
      </c>
      <c r="Q7" s="151">
        <v>15</v>
      </c>
      <c r="R7" s="500">
        <v>15</v>
      </c>
      <c r="S7" s="149">
        <v>14</v>
      </c>
      <c r="T7" s="150">
        <v>15</v>
      </c>
      <c r="U7" s="151">
        <v>16</v>
      </c>
      <c r="V7" s="151">
        <v>17</v>
      </c>
    </row>
    <row r="8" spans="1:22" s="152" customFormat="1" ht="15.75" customHeight="1" thickBot="1">
      <c r="A8" s="153"/>
      <c r="B8" s="154"/>
      <c r="C8" s="154" t="s">
        <v>110</v>
      </c>
      <c r="D8" s="459"/>
      <c r="E8" s="459"/>
      <c r="F8" s="505"/>
      <c r="G8" s="505"/>
      <c r="H8" s="865"/>
      <c r="I8" s="865"/>
      <c r="J8" s="789"/>
      <c r="K8" s="782"/>
      <c r="L8" s="507"/>
      <c r="M8" s="459"/>
      <c r="N8" s="274"/>
      <c r="O8" s="274"/>
      <c r="P8" s="873"/>
      <c r="Q8" s="275"/>
      <c r="R8" s="501"/>
      <c r="S8" s="507"/>
      <c r="T8" s="274"/>
      <c r="U8" s="275"/>
      <c r="V8" s="275"/>
    </row>
    <row r="9" spans="1:22" s="158" customFormat="1" ht="12" customHeight="1" thickBot="1">
      <c r="A9" s="149" t="s">
        <v>29</v>
      </c>
      <c r="B9" s="155"/>
      <c r="C9" s="494" t="s">
        <v>345</v>
      </c>
      <c r="D9" s="460">
        <v>32771000</v>
      </c>
      <c r="E9" s="460">
        <v>32771000</v>
      </c>
      <c r="F9" s="460">
        <f>SUM(F10:F17)</f>
        <v>33488843</v>
      </c>
      <c r="G9" s="460">
        <f>SUM(G10:G17)</f>
        <v>33491917</v>
      </c>
      <c r="H9" s="460">
        <f>SUM(H10:H17)</f>
        <v>33491917</v>
      </c>
      <c r="I9" s="866"/>
      <c r="J9" s="376"/>
      <c r="K9" s="276"/>
      <c r="L9" s="460">
        <v>32771000</v>
      </c>
      <c r="M9" s="460">
        <v>32771000</v>
      </c>
      <c r="N9" s="460">
        <f>SUM(N10:N17)</f>
        <v>33488843</v>
      </c>
      <c r="O9" s="460">
        <f>SUM(O10:O17)</f>
        <v>33491917</v>
      </c>
      <c r="P9" s="460">
        <f>SUM(P10:P17)</f>
        <v>33491917</v>
      </c>
      <c r="Q9" s="866"/>
      <c r="R9" s="376">
        <f>Q9/P9</f>
        <v>0</v>
      </c>
      <c r="S9" s="460"/>
      <c r="T9" s="218"/>
      <c r="U9" s="157"/>
      <c r="V9" s="157"/>
    </row>
    <row r="10" spans="1:22" s="158" customFormat="1" ht="12" customHeight="1">
      <c r="A10" s="159"/>
      <c r="B10" s="170" t="s">
        <v>37</v>
      </c>
      <c r="C10" s="971" t="s">
        <v>560</v>
      </c>
      <c r="D10" s="945"/>
      <c r="E10" s="945"/>
      <c r="F10" s="974">
        <v>9537000</v>
      </c>
      <c r="G10" s="974">
        <f>9537000+5259000</f>
        <v>14796000</v>
      </c>
      <c r="H10" s="974">
        <f>9537000+5259000</f>
        <v>14796000</v>
      </c>
      <c r="I10" s="942"/>
      <c r="J10" s="943"/>
      <c r="K10" s="961"/>
      <c r="L10" s="945"/>
      <c r="M10" s="945"/>
      <c r="N10" s="974">
        <v>9537000</v>
      </c>
      <c r="O10" s="974">
        <f>9537000+5259000</f>
        <v>14796000</v>
      </c>
      <c r="P10" s="974">
        <f>9537000+5259000</f>
        <v>14796000</v>
      </c>
      <c r="Q10" s="942"/>
      <c r="R10" s="943"/>
      <c r="S10" s="945"/>
      <c r="T10" s="940"/>
      <c r="U10" s="944"/>
      <c r="V10" s="944"/>
    </row>
    <row r="11" spans="1:22" s="158" customFormat="1" ht="12" customHeight="1">
      <c r="A11" s="161"/>
      <c r="B11" s="160" t="s">
        <v>38</v>
      </c>
      <c r="C11" s="972" t="s">
        <v>343</v>
      </c>
      <c r="D11" s="952"/>
      <c r="E11" s="952"/>
      <c r="F11" s="975">
        <v>5648017</v>
      </c>
      <c r="G11" s="975">
        <v>5648017</v>
      </c>
      <c r="H11" s="975">
        <v>5648017</v>
      </c>
      <c r="I11" s="949"/>
      <c r="J11" s="950"/>
      <c r="K11" s="962"/>
      <c r="L11" s="952"/>
      <c r="M11" s="952"/>
      <c r="N11" s="975">
        <v>5648017</v>
      </c>
      <c r="O11" s="975">
        <v>5648017</v>
      </c>
      <c r="P11" s="975">
        <v>5648017</v>
      </c>
      <c r="Q11" s="949"/>
      <c r="R11" s="950"/>
      <c r="S11" s="952"/>
      <c r="T11" s="947"/>
      <c r="U11" s="951"/>
      <c r="V11" s="951"/>
    </row>
    <row r="12" spans="1:22" s="158" customFormat="1" ht="12" customHeight="1">
      <c r="A12" s="161"/>
      <c r="B12" s="160" t="s">
        <v>39</v>
      </c>
      <c r="C12" s="972" t="s">
        <v>562</v>
      </c>
      <c r="D12" s="952"/>
      <c r="E12" s="952"/>
      <c r="F12" s="975">
        <v>1520000</v>
      </c>
      <c r="G12" s="975">
        <v>1520000</v>
      </c>
      <c r="H12" s="975">
        <v>1520000</v>
      </c>
      <c r="I12" s="949"/>
      <c r="J12" s="950"/>
      <c r="K12" s="962"/>
      <c r="L12" s="952"/>
      <c r="M12" s="952"/>
      <c r="N12" s="975">
        <v>1520000</v>
      </c>
      <c r="O12" s="975">
        <v>1520000</v>
      </c>
      <c r="P12" s="975">
        <v>1520000</v>
      </c>
      <c r="Q12" s="949"/>
      <c r="R12" s="950"/>
      <c r="S12" s="952"/>
      <c r="T12" s="947"/>
      <c r="U12" s="951"/>
      <c r="V12" s="951"/>
    </row>
    <row r="13" spans="1:22" s="158" customFormat="1" ht="12" customHeight="1">
      <c r="A13" s="161"/>
      <c r="B13" s="160" t="s">
        <v>50</v>
      </c>
      <c r="C13" s="972" t="s">
        <v>563</v>
      </c>
      <c r="D13" s="952"/>
      <c r="E13" s="952"/>
      <c r="F13" s="975">
        <v>10073000</v>
      </c>
      <c r="G13" s="975">
        <f>10073000-5259000</f>
        <v>4814000</v>
      </c>
      <c r="H13" s="975">
        <f>10073000-5259000</f>
        <v>4814000</v>
      </c>
      <c r="I13" s="949"/>
      <c r="J13" s="950"/>
      <c r="K13" s="962"/>
      <c r="L13" s="952"/>
      <c r="M13" s="952"/>
      <c r="N13" s="975">
        <v>10073000</v>
      </c>
      <c r="O13" s="975">
        <f>10073000-5259000</f>
        <v>4814000</v>
      </c>
      <c r="P13" s="975">
        <f>10073000-5259000</f>
        <v>4814000</v>
      </c>
      <c r="Q13" s="949"/>
      <c r="R13" s="950"/>
      <c r="S13" s="952"/>
      <c r="T13" s="947"/>
      <c r="U13" s="951"/>
      <c r="V13" s="951"/>
    </row>
    <row r="14" spans="1:22" s="158" customFormat="1" ht="12" customHeight="1">
      <c r="A14" s="161"/>
      <c r="B14" s="160" t="s">
        <v>51</v>
      </c>
      <c r="C14" s="973" t="s">
        <v>564</v>
      </c>
      <c r="D14" s="960"/>
      <c r="E14" s="960"/>
      <c r="F14" s="976">
        <v>6641000</v>
      </c>
      <c r="G14" s="976">
        <v>6641000</v>
      </c>
      <c r="H14" s="976">
        <v>6641000</v>
      </c>
      <c r="I14" s="957"/>
      <c r="J14" s="958"/>
      <c r="K14" s="970"/>
      <c r="L14" s="960"/>
      <c r="M14" s="960"/>
      <c r="N14" s="976">
        <v>6641000</v>
      </c>
      <c r="O14" s="976">
        <v>6641000</v>
      </c>
      <c r="P14" s="976">
        <v>6641000</v>
      </c>
      <c r="Q14" s="957"/>
      <c r="R14" s="958"/>
      <c r="S14" s="960"/>
      <c r="T14" s="955"/>
      <c r="U14" s="959"/>
      <c r="V14" s="959"/>
    </row>
    <row r="15" spans="1:22" s="158" customFormat="1" ht="12" customHeight="1">
      <c r="A15" s="161"/>
      <c r="B15" s="160" t="s">
        <v>565</v>
      </c>
      <c r="C15" s="973" t="s">
        <v>319</v>
      </c>
      <c r="D15" s="960"/>
      <c r="E15" s="960"/>
      <c r="F15" s="976">
        <v>1000</v>
      </c>
      <c r="G15" s="976">
        <v>2000</v>
      </c>
      <c r="H15" s="976">
        <v>2000</v>
      </c>
      <c r="I15" s="957"/>
      <c r="J15" s="958"/>
      <c r="K15" s="970"/>
      <c r="L15" s="960"/>
      <c r="M15" s="960"/>
      <c r="N15" s="976">
        <v>1000</v>
      </c>
      <c r="O15" s="976">
        <v>2000</v>
      </c>
      <c r="P15" s="976">
        <v>2000</v>
      </c>
      <c r="Q15" s="957"/>
      <c r="R15" s="958"/>
      <c r="S15" s="960"/>
      <c r="T15" s="955"/>
      <c r="U15" s="959"/>
      <c r="V15" s="959"/>
    </row>
    <row r="16" spans="1:22" s="158" customFormat="1" ht="12" customHeight="1">
      <c r="A16" s="161"/>
      <c r="B16" s="160" t="s">
        <v>566</v>
      </c>
      <c r="C16" s="954" t="s">
        <v>561</v>
      </c>
      <c r="D16" s="960"/>
      <c r="E16" s="960"/>
      <c r="F16" s="976">
        <v>68826</v>
      </c>
      <c r="G16" s="976">
        <f>68826+2074</f>
        <v>70900</v>
      </c>
      <c r="H16" s="976">
        <f>68826+2074</f>
        <v>70900</v>
      </c>
      <c r="I16" s="957"/>
      <c r="J16" s="958"/>
      <c r="K16" s="970"/>
      <c r="L16" s="960"/>
      <c r="M16" s="960"/>
      <c r="N16" s="976">
        <v>68826</v>
      </c>
      <c r="O16" s="976">
        <f>68826+2074</f>
        <v>70900</v>
      </c>
      <c r="P16" s="976">
        <f>68826+2074</f>
        <v>70900</v>
      </c>
      <c r="Q16" s="957"/>
      <c r="R16" s="958"/>
      <c r="S16" s="960"/>
      <c r="T16" s="955"/>
      <c r="U16" s="959"/>
      <c r="V16" s="959"/>
    </row>
    <row r="17" spans="1:22" s="158" customFormat="1" ht="12" customHeight="1" thickBot="1">
      <c r="A17" s="977"/>
      <c r="B17" s="978"/>
      <c r="C17" s="963"/>
      <c r="D17" s="964"/>
      <c r="E17" s="964"/>
      <c r="F17" s="964"/>
      <c r="G17" s="964"/>
      <c r="H17" s="964"/>
      <c r="I17" s="965"/>
      <c r="J17" s="966"/>
      <c r="K17" s="967"/>
      <c r="L17" s="964"/>
      <c r="M17" s="964"/>
      <c r="N17" s="964"/>
      <c r="O17" s="964"/>
      <c r="P17" s="964"/>
      <c r="Q17" s="965"/>
      <c r="R17" s="966"/>
      <c r="S17" s="964"/>
      <c r="T17" s="968"/>
      <c r="U17" s="969"/>
      <c r="V17" s="969"/>
    </row>
    <row r="18" spans="1:22" s="158" customFormat="1" ht="12" customHeight="1" thickBot="1">
      <c r="A18" s="149" t="s">
        <v>30</v>
      </c>
      <c r="B18" s="155"/>
      <c r="C18" s="494" t="s">
        <v>117</v>
      </c>
      <c r="D18" s="460">
        <f>D19+D21</f>
        <v>0</v>
      </c>
      <c r="E18" s="460">
        <f>E19+E21</f>
        <v>0</v>
      </c>
      <c r="F18" s="460">
        <f>F19+F21</f>
        <v>0</v>
      </c>
      <c r="G18" s="460">
        <f>G19+G21</f>
        <v>457200</v>
      </c>
      <c r="H18" s="460">
        <f>H19+H21</f>
        <v>457200</v>
      </c>
      <c r="I18" s="866"/>
      <c r="J18" s="376"/>
      <c r="K18" s="276">
        <f aca="true" t="shared" si="0" ref="K18:P18">K19+K21</f>
        <v>0</v>
      </c>
      <c r="L18" s="460">
        <f t="shared" si="0"/>
        <v>0</v>
      </c>
      <c r="M18" s="460">
        <f t="shared" si="0"/>
        <v>0</v>
      </c>
      <c r="N18" s="460">
        <f t="shared" si="0"/>
        <v>0</v>
      </c>
      <c r="O18" s="460">
        <f t="shared" si="0"/>
        <v>457200</v>
      </c>
      <c r="P18" s="460">
        <f t="shared" si="0"/>
        <v>457200</v>
      </c>
      <c r="Q18" s="866"/>
      <c r="R18" s="376"/>
      <c r="S18" s="460"/>
      <c r="T18" s="218"/>
      <c r="U18" s="157"/>
      <c r="V18" s="157"/>
    </row>
    <row r="19" spans="1:22" s="164" customFormat="1" ht="12" customHeight="1">
      <c r="A19" s="161"/>
      <c r="B19" s="160" t="s">
        <v>40</v>
      </c>
      <c r="C19" s="472" t="s">
        <v>74</v>
      </c>
      <c r="D19" s="462"/>
      <c r="E19" s="462"/>
      <c r="F19" s="462"/>
      <c r="G19" s="462">
        <v>457200</v>
      </c>
      <c r="H19" s="462">
        <v>457200</v>
      </c>
      <c r="I19" s="867"/>
      <c r="J19" s="747"/>
      <c r="K19" s="783"/>
      <c r="L19" s="462"/>
      <c r="M19" s="462"/>
      <c r="N19" s="462"/>
      <c r="O19" s="462">
        <v>457200</v>
      </c>
      <c r="P19" s="462">
        <v>457200</v>
      </c>
      <c r="Q19" s="867"/>
      <c r="R19" s="747"/>
      <c r="S19" s="462"/>
      <c r="T19" s="219"/>
      <c r="U19" s="163"/>
      <c r="V19" s="163"/>
    </row>
    <row r="20" spans="1:22" s="164" customFormat="1" ht="12" customHeight="1">
      <c r="A20" s="161"/>
      <c r="B20" s="160" t="s">
        <v>41</v>
      </c>
      <c r="C20" s="473" t="s">
        <v>120</v>
      </c>
      <c r="D20" s="462"/>
      <c r="E20" s="462"/>
      <c r="F20" s="462"/>
      <c r="G20" s="462"/>
      <c r="H20" s="462"/>
      <c r="I20" s="867"/>
      <c r="J20" s="747"/>
      <c r="K20" s="783"/>
      <c r="L20" s="462"/>
      <c r="M20" s="462"/>
      <c r="N20" s="462"/>
      <c r="O20" s="462"/>
      <c r="P20" s="462"/>
      <c r="Q20" s="867"/>
      <c r="R20" s="747"/>
      <c r="S20" s="462"/>
      <c r="T20" s="219"/>
      <c r="U20" s="163"/>
      <c r="V20" s="163"/>
    </row>
    <row r="21" spans="1:22" s="164" customFormat="1" ht="12" customHeight="1">
      <c r="A21" s="161"/>
      <c r="B21" s="160" t="s">
        <v>42</v>
      </c>
      <c r="C21" s="473" t="s">
        <v>75</v>
      </c>
      <c r="D21" s="462"/>
      <c r="E21" s="462"/>
      <c r="F21" s="462"/>
      <c r="G21" s="462"/>
      <c r="H21" s="462"/>
      <c r="I21" s="867"/>
      <c r="J21" s="747"/>
      <c r="K21" s="783"/>
      <c r="L21" s="462"/>
      <c r="M21" s="462"/>
      <c r="N21" s="462"/>
      <c r="O21" s="462"/>
      <c r="P21" s="462"/>
      <c r="Q21" s="867"/>
      <c r="R21" s="747"/>
      <c r="S21" s="462"/>
      <c r="T21" s="219"/>
      <c r="U21" s="163"/>
      <c r="V21" s="163"/>
    </row>
    <row r="22" spans="1:22" s="164" customFormat="1" ht="12" customHeight="1" thickBot="1">
      <c r="A22" s="161"/>
      <c r="B22" s="160" t="s">
        <v>278</v>
      </c>
      <c r="C22" s="473" t="s">
        <v>120</v>
      </c>
      <c r="D22" s="462"/>
      <c r="E22" s="462"/>
      <c r="F22" s="462"/>
      <c r="G22" s="462"/>
      <c r="H22" s="462"/>
      <c r="I22" s="867"/>
      <c r="J22" s="747"/>
      <c r="K22" s="783"/>
      <c r="L22" s="462"/>
      <c r="M22" s="462"/>
      <c r="N22" s="462"/>
      <c r="O22" s="462"/>
      <c r="P22" s="462"/>
      <c r="Q22" s="867"/>
      <c r="R22" s="747"/>
      <c r="S22" s="462"/>
      <c r="T22" s="219"/>
      <c r="U22" s="163"/>
      <c r="V22" s="163"/>
    </row>
    <row r="23" spans="1:22" s="164" customFormat="1" ht="12" customHeight="1" thickBot="1">
      <c r="A23" s="167" t="s">
        <v>10</v>
      </c>
      <c r="B23" s="168"/>
      <c r="C23" s="471" t="s">
        <v>123</v>
      </c>
      <c r="D23" s="460">
        <f aca="true" t="shared" si="1" ref="D23:I23">SUM(D24:D25)</f>
        <v>0</v>
      </c>
      <c r="E23" s="460">
        <f t="shared" si="1"/>
        <v>0</v>
      </c>
      <c r="F23" s="460">
        <f t="shared" si="1"/>
        <v>0</v>
      </c>
      <c r="G23" s="460">
        <f t="shared" si="1"/>
        <v>0</v>
      </c>
      <c r="H23" s="460">
        <f t="shared" si="1"/>
        <v>0</v>
      </c>
      <c r="I23" s="866">
        <f t="shared" si="1"/>
        <v>0</v>
      </c>
      <c r="J23" s="376"/>
      <c r="K23" s="276">
        <f aca="true" t="shared" si="2" ref="K23:Q23">SUM(K24:K25)</f>
        <v>0</v>
      </c>
      <c r="L23" s="460">
        <f t="shared" si="2"/>
        <v>0</v>
      </c>
      <c r="M23" s="460">
        <f t="shared" si="2"/>
        <v>0</v>
      </c>
      <c r="N23" s="460">
        <f t="shared" si="2"/>
        <v>0</v>
      </c>
      <c r="O23" s="460">
        <f t="shared" si="2"/>
        <v>0</v>
      </c>
      <c r="P23" s="460">
        <f t="shared" si="2"/>
        <v>0</v>
      </c>
      <c r="Q23" s="866">
        <f t="shared" si="2"/>
        <v>0</v>
      </c>
      <c r="R23" s="376"/>
      <c r="S23" s="460"/>
      <c r="T23" s="218"/>
      <c r="U23" s="157"/>
      <c r="V23" s="157"/>
    </row>
    <row r="24" spans="1:22" s="158" customFormat="1" ht="12" customHeight="1">
      <c r="A24" s="169"/>
      <c r="B24" s="170" t="s">
        <v>43</v>
      </c>
      <c r="C24" s="495" t="s">
        <v>125</v>
      </c>
      <c r="D24" s="463"/>
      <c r="E24" s="463"/>
      <c r="F24" s="463"/>
      <c r="G24" s="463"/>
      <c r="H24" s="463"/>
      <c r="I24" s="868"/>
      <c r="J24" s="748"/>
      <c r="K24" s="784"/>
      <c r="L24" s="463"/>
      <c r="M24" s="463"/>
      <c r="N24" s="463"/>
      <c r="O24" s="463"/>
      <c r="P24" s="463"/>
      <c r="Q24" s="868"/>
      <c r="R24" s="748"/>
      <c r="S24" s="463"/>
      <c r="T24" s="220"/>
      <c r="U24" s="172"/>
      <c r="V24" s="172"/>
    </row>
    <row r="25" spans="1:22" s="158" customFormat="1" ht="12" customHeight="1" thickBot="1">
      <c r="A25" s="173"/>
      <c r="B25" s="174" t="s">
        <v>44</v>
      </c>
      <c r="C25" s="496" t="s">
        <v>127</v>
      </c>
      <c r="D25" s="464"/>
      <c r="E25" s="464"/>
      <c r="F25" s="464"/>
      <c r="G25" s="464"/>
      <c r="H25" s="464"/>
      <c r="I25" s="869"/>
      <c r="J25" s="749"/>
      <c r="K25" s="785"/>
      <c r="L25" s="464"/>
      <c r="M25" s="464"/>
      <c r="N25" s="464"/>
      <c r="O25" s="464"/>
      <c r="P25" s="464"/>
      <c r="Q25" s="869"/>
      <c r="R25" s="749"/>
      <c r="S25" s="464"/>
      <c r="T25" s="221"/>
      <c r="U25" s="176"/>
      <c r="V25" s="176"/>
    </row>
    <row r="26" spans="1:22" s="158" customFormat="1" ht="12" customHeight="1" thickBot="1">
      <c r="A26" s="167"/>
      <c r="B26" s="155"/>
      <c r="D26" s="465"/>
      <c r="E26" s="465"/>
      <c r="F26" s="465"/>
      <c r="G26" s="465"/>
      <c r="H26" s="465"/>
      <c r="I26" s="870"/>
      <c r="J26" s="750"/>
      <c r="K26" s="273"/>
      <c r="L26" s="465"/>
      <c r="M26" s="465"/>
      <c r="N26" s="465"/>
      <c r="O26" s="465"/>
      <c r="P26" s="465"/>
      <c r="Q26" s="870"/>
      <c r="R26" s="750"/>
      <c r="S26" s="465"/>
      <c r="T26" s="222"/>
      <c r="U26" s="177"/>
      <c r="V26" s="177"/>
    </row>
    <row r="27" spans="1:22" s="158" customFormat="1" ht="12" customHeight="1" thickBot="1">
      <c r="A27" s="149" t="s">
        <v>11</v>
      </c>
      <c r="B27" s="178"/>
      <c r="C27" s="471" t="s">
        <v>279</v>
      </c>
      <c r="D27" s="460">
        <f aca="true" t="shared" si="3" ref="D27:I27">D9+D18+D23+D26</f>
        <v>32771000</v>
      </c>
      <c r="E27" s="460">
        <f t="shared" si="3"/>
        <v>32771000</v>
      </c>
      <c r="F27" s="460">
        <f t="shared" si="3"/>
        <v>33488843</v>
      </c>
      <c r="G27" s="460">
        <f t="shared" si="3"/>
        <v>33949117</v>
      </c>
      <c r="H27" s="460">
        <f t="shared" si="3"/>
        <v>33949117</v>
      </c>
      <c r="I27" s="460">
        <f t="shared" si="3"/>
        <v>0</v>
      </c>
      <c r="J27" s="376">
        <f>I27/H27</f>
        <v>0</v>
      </c>
      <c r="K27" s="276">
        <f aca="true" t="shared" si="4" ref="K27:Q27">K9+K18+K23+K26</f>
        <v>0</v>
      </c>
      <c r="L27" s="460">
        <f t="shared" si="4"/>
        <v>32771000</v>
      </c>
      <c r="M27" s="460">
        <f>M9+M18+M23+M26</f>
        <v>32771000</v>
      </c>
      <c r="N27" s="460">
        <f>N9+N18+N23+N26</f>
        <v>33488843</v>
      </c>
      <c r="O27" s="460">
        <f>O9+O18+O23+O26</f>
        <v>33949117</v>
      </c>
      <c r="P27" s="460">
        <f>P9+P18+P23+P26</f>
        <v>33949117</v>
      </c>
      <c r="Q27" s="460">
        <f t="shared" si="4"/>
        <v>0</v>
      </c>
      <c r="R27" s="376">
        <f>Q27/P27</f>
        <v>0</v>
      </c>
      <c r="S27" s="460"/>
      <c r="T27" s="218"/>
      <c r="U27" s="157"/>
      <c r="V27" s="157"/>
    </row>
    <row r="28" spans="1:22" s="164" customFormat="1" ht="12" customHeight="1" thickBot="1">
      <c r="A28" s="179" t="s">
        <v>12</v>
      </c>
      <c r="B28" s="180"/>
      <c r="C28" s="497" t="s">
        <v>280</v>
      </c>
      <c r="D28" s="466">
        <f aca="true" t="shared" si="5" ref="D28:I28">SUM(D29:D31)</f>
        <v>91740000</v>
      </c>
      <c r="E28" s="466">
        <f t="shared" si="5"/>
        <v>91740000</v>
      </c>
      <c r="F28" s="466">
        <f t="shared" si="5"/>
        <v>91739207</v>
      </c>
      <c r="G28" s="466">
        <f t="shared" si="5"/>
        <v>91873145</v>
      </c>
      <c r="H28" s="466">
        <f t="shared" si="5"/>
        <v>92969078</v>
      </c>
      <c r="I28" s="466">
        <f t="shared" si="5"/>
        <v>0</v>
      </c>
      <c r="J28" s="376">
        <f>I28/H28</f>
        <v>0</v>
      </c>
      <c r="K28" s="277">
        <f aca="true" t="shared" si="6" ref="K28:Q28">SUM(K29:K31)</f>
        <v>0</v>
      </c>
      <c r="L28" s="466">
        <f t="shared" si="6"/>
        <v>91740000</v>
      </c>
      <c r="M28" s="466">
        <f>SUM(M29:M31)</f>
        <v>91740000</v>
      </c>
      <c r="N28" s="466">
        <f>SUM(N29:N31)</f>
        <v>91739207</v>
      </c>
      <c r="O28" s="466">
        <f>SUM(O29:O31)</f>
        <v>91873145</v>
      </c>
      <c r="P28" s="466">
        <f>SUM(P29:P31)</f>
        <v>92969078</v>
      </c>
      <c r="Q28" s="466">
        <f t="shared" si="6"/>
        <v>0</v>
      </c>
      <c r="R28" s="376">
        <f>Q28/P28</f>
        <v>0</v>
      </c>
      <c r="S28" s="460"/>
      <c r="T28" s="218"/>
      <c r="U28" s="157"/>
      <c r="V28" s="157"/>
    </row>
    <row r="29" spans="1:22" s="164" customFormat="1" ht="15" customHeight="1" thickBot="1">
      <c r="A29" s="159"/>
      <c r="B29" s="182" t="s">
        <v>45</v>
      </c>
      <c r="C29" s="495" t="s">
        <v>132</v>
      </c>
      <c r="D29" s="463">
        <v>817181</v>
      </c>
      <c r="E29" s="463">
        <v>817181</v>
      </c>
      <c r="F29" s="463">
        <f>817181-793</f>
        <v>816388</v>
      </c>
      <c r="G29" s="463">
        <f>817181-793</f>
        <v>816388</v>
      </c>
      <c r="H29" s="463">
        <f>817181-793</f>
        <v>816388</v>
      </c>
      <c r="I29" s="868"/>
      <c r="J29" s="780"/>
      <c r="K29" s="784"/>
      <c r="L29" s="463">
        <v>817181</v>
      </c>
      <c r="M29" s="463">
        <v>817181</v>
      </c>
      <c r="N29" s="463">
        <f>817181-793</f>
        <v>816388</v>
      </c>
      <c r="O29" s="463">
        <f>817181-793</f>
        <v>816388</v>
      </c>
      <c r="P29" s="463">
        <f>817181-793</f>
        <v>816388</v>
      </c>
      <c r="Q29" s="868"/>
      <c r="R29" s="780">
        <f>Q29/P29</f>
        <v>0</v>
      </c>
      <c r="S29" s="469"/>
      <c r="T29" s="470"/>
      <c r="U29" s="278"/>
      <c r="V29" s="278"/>
    </row>
    <row r="30" spans="1:22" s="164" customFormat="1" ht="15" customHeight="1">
      <c r="A30" s="608"/>
      <c r="B30" s="609" t="s">
        <v>46</v>
      </c>
      <c r="C30" s="495" t="s">
        <v>508</v>
      </c>
      <c r="D30" s="610">
        <v>90922819</v>
      </c>
      <c r="E30" s="610">
        <v>90922819</v>
      </c>
      <c r="F30" s="610">
        <v>90922819</v>
      </c>
      <c r="G30" s="610">
        <f>90922819+133938</f>
        <v>91056757</v>
      </c>
      <c r="H30" s="610">
        <f>90922819+133938+1095933</f>
        <v>92152690</v>
      </c>
      <c r="I30" s="871"/>
      <c r="J30" s="780"/>
      <c r="K30" s="786"/>
      <c r="L30" s="610">
        <v>90922819</v>
      </c>
      <c r="M30" s="610">
        <v>90922819</v>
      </c>
      <c r="N30" s="610">
        <v>90922819</v>
      </c>
      <c r="O30" s="610">
        <f>90922819+133938</f>
        <v>91056757</v>
      </c>
      <c r="P30" s="610">
        <f>90922819+133938+1095933</f>
        <v>92152690</v>
      </c>
      <c r="Q30" s="871"/>
      <c r="R30" s="780">
        <f>Q30/P30</f>
        <v>0</v>
      </c>
      <c r="S30" s="612"/>
      <c r="T30" s="613"/>
      <c r="U30" s="614"/>
      <c r="V30" s="614"/>
    </row>
    <row r="31" spans="1:22" s="164" customFormat="1" ht="15" customHeight="1" thickBot="1">
      <c r="A31" s="183"/>
      <c r="B31" s="184" t="s">
        <v>73</v>
      </c>
      <c r="C31" s="498" t="s">
        <v>134</v>
      </c>
      <c r="D31" s="467"/>
      <c r="E31" s="467"/>
      <c r="F31" s="467"/>
      <c r="G31" s="467"/>
      <c r="H31" s="467"/>
      <c r="I31" s="872"/>
      <c r="J31" s="751"/>
      <c r="K31" s="787"/>
      <c r="L31" s="467"/>
      <c r="M31" s="467"/>
      <c r="N31" s="467"/>
      <c r="O31" s="467"/>
      <c r="P31" s="467"/>
      <c r="Q31" s="872"/>
      <c r="R31" s="751"/>
      <c r="S31" s="467"/>
      <c r="T31" s="224"/>
      <c r="U31" s="186"/>
      <c r="V31" s="186"/>
    </row>
    <row r="32" spans="1:22" ht="13.5" thickBot="1">
      <c r="A32" s="187" t="s">
        <v>13</v>
      </c>
      <c r="B32" s="312"/>
      <c r="C32" s="475" t="s">
        <v>135</v>
      </c>
      <c r="D32" s="465"/>
      <c r="E32" s="465"/>
      <c r="F32" s="465"/>
      <c r="G32" s="465"/>
      <c r="H32" s="465"/>
      <c r="I32" s="870"/>
      <c r="J32" s="750"/>
      <c r="K32" s="273"/>
      <c r="L32" s="465"/>
      <c r="M32" s="465"/>
      <c r="N32" s="465"/>
      <c r="O32" s="465"/>
      <c r="P32" s="465"/>
      <c r="Q32" s="870"/>
      <c r="R32" s="750"/>
      <c r="S32" s="465"/>
      <c r="T32" s="222"/>
      <c r="U32" s="177"/>
      <c r="V32" s="177"/>
    </row>
    <row r="33" spans="1:22" s="152" customFormat="1" ht="16.5" customHeight="1" thickBot="1">
      <c r="A33" s="187">
        <v>7</v>
      </c>
      <c r="B33" s="313"/>
      <c r="C33" s="499" t="s">
        <v>282</v>
      </c>
      <c r="D33" s="468">
        <f aca="true" t="shared" si="7" ref="D33:I33">D27+D32+D28</f>
        <v>124511000</v>
      </c>
      <c r="E33" s="468">
        <f t="shared" si="7"/>
        <v>124511000</v>
      </c>
      <c r="F33" s="468">
        <f t="shared" si="7"/>
        <v>125228050</v>
      </c>
      <c r="G33" s="468">
        <f t="shared" si="7"/>
        <v>125822262</v>
      </c>
      <c r="H33" s="468">
        <f t="shared" si="7"/>
        <v>126918195</v>
      </c>
      <c r="I33" s="468">
        <f t="shared" si="7"/>
        <v>0</v>
      </c>
      <c r="J33" s="376">
        <f>I33/H33</f>
        <v>0</v>
      </c>
      <c r="K33" s="279">
        <f aca="true" t="shared" si="8" ref="K33:Q33">K27+K32+K28</f>
        <v>0</v>
      </c>
      <c r="L33" s="468">
        <f t="shared" si="8"/>
        <v>124511000</v>
      </c>
      <c r="M33" s="468">
        <f>M27+M32+M28</f>
        <v>124511000</v>
      </c>
      <c r="N33" s="468">
        <f>N27+N32+N28</f>
        <v>125228050</v>
      </c>
      <c r="O33" s="468">
        <f>O27+O32+O28</f>
        <v>125822262</v>
      </c>
      <c r="P33" s="468">
        <f>P27+P32+P28</f>
        <v>126918195</v>
      </c>
      <c r="Q33" s="468">
        <f t="shared" si="8"/>
        <v>0</v>
      </c>
      <c r="R33" s="376">
        <f>Q33/P33</f>
        <v>0</v>
      </c>
      <c r="S33" s="468"/>
      <c r="T33" s="225"/>
      <c r="U33" s="210"/>
      <c r="V33" s="210"/>
    </row>
    <row r="34" spans="1:22" s="196" customFormat="1" ht="12" customHeight="1">
      <c r="A34" s="193"/>
      <c r="B34" s="193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</row>
    <row r="35" spans="1:22" ht="12" customHeight="1" thickBot="1">
      <c r="A35" s="197"/>
      <c r="B35" s="198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</row>
    <row r="36" spans="1:22" ht="12" customHeight="1" thickBot="1">
      <c r="A36" s="200"/>
      <c r="B36" s="201"/>
      <c r="C36" s="202" t="s">
        <v>137</v>
      </c>
      <c r="D36" s="468"/>
      <c r="E36" s="468"/>
      <c r="F36" s="225"/>
      <c r="G36" s="225"/>
      <c r="H36" s="225"/>
      <c r="I36" s="225"/>
      <c r="J36" s="225"/>
      <c r="K36" s="210"/>
      <c r="L36" s="468"/>
      <c r="M36" s="468"/>
      <c r="N36" s="225"/>
      <c r="O36" s="225"/>
      <c r="P36" s="225"/>
      <c r="Q36" s="225"/>
      <c r="R36" s="210"/>
      <c r="S36" s="468"/>
      <c r="T36" s="225"/>
      <c r="U36" s="210"/>
      <c r="V36" s="210"/>
    </row>
    <row r="37" spans="1:22" ht="12" customHeight="1" thickBot="1">
      <c r="A37" s="167" t="s">
        <v>29</v>
      </c>
      <c r="B37" s="203"/>
      <c r="C37" s="471" t="s">
        <v>138</v>
      </c>
      <c r="D37" s="460">
        <f aca="true" t="shared" si="9" ref="D37:I37">SUM(D38:D42)</f>
        <v>123044000</v>
      </c>
      <c r="E37" s="460">
        <f t="shared" si="9"/>
        <v>123044000</v>
      </c>
      <c r="F37" s="460">
        <f>SUM(F38:F42)</f>
        <v>123761050</v>
      </c>
      <c r="G37" s="460">
        <f>SUM(G38:G42)</f>
        <v>124315262</v>
      </c>
      <c r="H37" s="460">
        <f>SUM(H38:H42)</f>
        <v>125411195</v>
      </c>
      <c r="I37" s="460">
        <f t="shared" si="9"/>
        <v>0</v>
      </c>
      <c r="J37" s="376">
        <f>I37/H37</f>
        <v>0</v>
      </c>
      <c r="K37" s="454">
        <f aca="true" t="shared" si="10" ref="K37:Q37">SUM(K38:K42)</f>
        <v>0</v>
      </c>
      <c r="L37" s="460">
        <f t="shared" si="10"/>
        <v>123044000</v>
      </c>
      <c r="M37" s="460">
        <f t="shared" si="10"/>
        <v>123044000</v>
      </c>
      <c r="N37" s="460">
        <f t="shared" si="10"/>
        <v>123761050</v>
      </c>
      <c r="O37" s="460">
        <f>SUM(O38:O42)</f>
        <v>124315262</v>
      </c>
      <c r="P37" s="460">
        <f>SUM(P38:P42)</f>
        <v>125411195</v>
      </c>
      <c r="Q37" s="460">
        <f t="shared" si="10"/>
        <v>0</v>
      </c>
      <c r="R37" s="376">
        <f>Q37/P37</f>
        <v>0</v>
      </c>
      <c r="S37" s="460"/>
      <c r="T37" s="218"/>
      <c r="U37" s="157"/>
      <c r="V37" s="157"/>
    </row>
    <row r="38" spans="1:22" ht="12" customHeight="1">
      <c r="A38" s="204"/>
      <c r="B38" s="205" t="s">
        <v>112</v>
      </c>
      <c r="C38" s="472" t="s">
        <v>139</v>
      </c>
      <c r="D38" s="478">
        <v>60521000</v>
      </c>
      <c r="E38" s="478">
        <v>60521000</v>
      </c>
      <c r="F38" s="478">
        <v>60521000</v>
      </c>
      <c r="G38" s="478">
        <f>60521000-150000</f>
        <v>60371000</v>
      </c>
      <c r="H38" s="478">
        <f>60521000-150000</f>
        <v>60371000</v>
      </c>
      <c r="I38" s="226"/>
      <c r="J38" s="748"/>
      <c r="K38" s="778"/>
      <c r="L38" s="478">
        <v>60521000</v>
      </c>
      <c r="M38" s="478">
        <v>60521000</v>
      </c>
      <c r="N38" s="478">
        <v>60521000</v>
      </c>
      <c r="O38" s="478">
        <f>60521000-150000</f>
        <v>60371000</v>
      </c>
      <c r="P38" s="478">
        <f>60521000-150000</f>
        <v>60371000</v>
      </c>
      <c r="Q38" s="226"/>
      <c r="R38" s="748">
        <f>Q38/P38</f>
        <v>0</v>
      </c>
      <c r="S38" s="462"/>
      <c r="T38" s="219"/>
      <c r="U38" s="163"/>
      <c r="V38" s="163"/>
    </row>
    <row r="39" spans="1:22" ht="12" customHeight="1">
      <c r="A39" s="206"/>
      <c r="B39" s="207" t="s">
        <v>113</v>
      </c>
      <c r="C39" s="473" t="s">
        <v>52</v>
      </c>
      <c r="D39" s="479">
        <v>16449000</v>
      </c>
      <c r="E39" s="479">
        <v>16449000</v>
      </c>
      <c r="F39" s="479">
        <v>16449000</v>
      </c>
      <c r="G39" s="479">
        <f>16449000-22255</f>
        <v>16426745</v>
      </c>
      <c r="H39" s="479">
        <f>16449000-22255</f>
        <v>16426745</v>
      </c>
      <c r="I39" s="227"/>
      <c r="J39" s="780"/>
      <c r="K39" s="486"/>
      <c r="L39" s="479">
        <v>16449000</v>
      </c>
      <c r="M39" s="479">
        <v>16449000</v>
      </c>
      <c r="N39" s="479">
        <v>16449000</v>
      </c>
      <c r="O39" s="479">
        <f>16449000-22255</f>
        <v>16426745</v>
      </c>
      <c r="P39" s="479">
        <f>16449000-22255</f>
        <v>16426745</v>
      </c>
      <c r="Q39" s="227"/>
      <c r="R39" s="780">
        <f>Q39/P39</f>
        <v>0</v>
      </c>
      <c r="S39" s="462"/>
      <c r="T39" s="219"/>
      <c r="U39" s="163"/>
      <c r="V39" s="163"/>
    </row>
    <row r="40" spans="1:22" ht="12" customHeight="1">
      <c r="A40" s="206"/>
      <c r="B40" s="207" t="s">
        <v>114</v>
      </c>
      <c r="C40" s="473" t="s">
        <v>140</v>
      </c>
      <c r="D40" s="479">
        <v>46074000</v>
      </c>
      <c r="E40" s="479">
        <v>46074000</v>
      </c>
      <c r="F40" s="479">
        <f>46074000+717050</f>
        <v>46791050</v>
      </c>
      <c r="G40" s="479">
        <f>46074000+717050+93938+632529</f>
        <v>47517517</v>
      </c>
      <c r="H40" s="479">
        <f>46074000+717050+93938+632529+1095933</f>
        <v>48613450</v>
      </c>
      <c r="I40" s="227"/>
      <c r="J40" s="780"/>
      <c r="K40" s="486"/>
      <c r="L40" s="479">
        <v>46074000</v>
      </c>
      <c r="M40" s="479">
        <v>46074000</v>
      </c>
      <c r="N40" s="479">
        <f>46074000+717050</f>
        <v>46791050</v>
      </c>
      <c r="O40" s="479">
        <f>46074000+717050+93938+632529</f>
        <v>47517517</v>
      </c>
      <c r="P40" s="479">
        <f>46074000+717050+93938+632529+1095933</f>
        <v>48613450</v>
      </c>
      <c r="Q40" s="227"/>
      <c r="R40" s="780">
        <f>Q40/P40</f>
        <v>0</v>
      </c>
      <c r="S40" s="462"/>
      <c r="T40" s="219"/>
      <c r="U40" s="163"/>
      <c r="V40" s="163"/>
    </row>
    <row r="41" spans="1:22" s="196" customFormat="1" ht="12" customHeight="1">
      <c r="A41" s="206"/>
      <c r="B41" s="207" t="s">
        <v>115</v>
      </c>
      <c r="C41" s="473" t="s">
        <v>83</v>
      </c>
      <c r="D41" s="479"/>
      <c r="E41" s="479"/>
      <c r="F41" s="479"/>
      <c r="G41" s="479"/>
      <c r="H41" s="479"/>
      <c r="I41" s="227"/>
      <c r="J41" s="227"/>
      <c r="K41" s="486"/>
      <c r="L41" s="479"/>
      <c r="M41" s="479"/>
      <c r="N41" s="479"/>
      <c r="O41" s="479"/>
      <c r="P41" s="479"/>
      <c r="Q41" s="227"/>
      <c r="R41" s="227"/>
      <c r="S41" s="462"/>
      <c r="T41" s="219"/>
      <c r="U41" s="163"/>
      <c r="V41" s="163"/>
    </row>
    <row r="42" spans="1:22" ht="12" customHeight="1" thickBot="1">
      <c r="A42" s="206"/>
      <c r="B42" s="207" t="s">
        <v>51</v>
      </c>
      <c r="C42" s="473" t="s">
        <v>85</v>
      </c>
      <c r="D42" s="479"/>
      <c r="E42" s="479"/>
      <c r="F42" s="479"/>
      <c r="G42" s="479"/>
      <c r="H42" s="479"/>
      <c r="I42" s="227"/>
      <c r="J42" s="780"/>
      <c r="K42" s="486"/>
      <c r="L42" s="479"/>
      <c r="M42" s="479"/>
      <c r="N42" s="479"/>
      <c r="O42" s="479"/>
      <c r="P42" s="479"/>
      <c r="Q42" s="227"/>
      <c r="R42" s="780" t="e">
        <f>P42/O42</f>
        <v>#DIV/0!</v>
      </c>
      <c r="S42" s="479"/>
      <c r="T42" s="227"/>
      <c r="U42" s="208"/>
      <c r="V42" s="208"/>
    </row>
    <row r="43" spans="1:22" ht="12" customHeight="1" thickBot="1">
      <c r="A43" s="167" t="s">
        <v>30</v>
      </c>
      <c r="B43" s="203"/>
      <c r="C43" s="471" t="s">
        <v>141</v>
      </c>
      <c r="D43" s="460">
        <f aca="true" t="shared" si="11" ref="D43:I43">SUM(D44:D48)</f>
        <v>1467000</v>
      </c>
      <c r="E43" s="460">
        <f t="shared" si="11"/>
        <v>1467000</v>
      </c>
      <c r="F43" s="460">
        <f t="shared" si="11"/>
        <v>1467000</v>
      </c>
      <c r="G43" s="460">
        <f t="shared" si="11"/>
        <v>1507000</v>
      </c>
      <c r="H43" s="460">
        <f t="shared" si="11"/>
        <v>1507000</v>
      </c>
      <c r="I43" s="460">
        <f t="shared" si="11"/>
        <v>0</v>
      </c>
      <c r="J43" s="376">
        <f>I43/H43</f>
        <v>0</v>
      </c>
      <c r="K43" s="454">
        <f aca="true" t="shared" si="12" ref="K43:Q43">SUM(K44:K48)</f>
        <v>0</v>
      </c>
      <c r="L43" s="460">
        <f t="shared" si="12"/>
        <v>1467000</v>
      </c>
      <c r="M43" s="460">
        <f>SUM(M44:M48)</f>
        <v>1467000</v>
      </c>
      <c r="N43" s="460">
        <f>SUM(N44:N48)</f>
        <v>1467000</v>
      </c>
      <c r="O43" s="460">
        <f>SUM(O44:O48)</f>
        <v>1507000</v>
      </c>
      <c r="P43" s="460">
        <f>SUM(P44:P48)</f>
        <v>1507000</v>
      </c>
      <c r="Q43" s="460">
        <f t="shared" si="12"/>
        <v>0</v>
      </c>
      <c r="R43" s="376">
        <f>Q43/P43</f>
        <v>0</v>
      </c>
      <c r="S43" s="460"/>
      <c r="T43" s="218"/>
      <c r="U43" s="157"/>
      <c r="V43" s="157"/>
    </row>
    <row r="44" spans="1:22" ht="12" customHeight="1">
      <c r="A44" s="204"/>
      <c r="B44" s="205" t="s">
        <v>142</v>
      </c>
      <c r="C44" s="472" t="s">
        <v>95</v>
      </c>
      <c r="D44" s="478">
        <v>1467000</v>
      </c>
      <c r="E44" s="478">
        <v>1467000</v>
      </c>
      <c r="F44" s="478">
        <v>1467000</v>
      </c>
      <c r="G44" s="478">
        <f>1467000+40000</f>
        <v>1507000</v>
      </c>
      <c r="H44" s="478">
        <f>1467000+40000</f>
        <v>1507000</v>
      </c>
      <c r="I44" s="226"/>
      <c r="J44" s="748"/>
      <c r="K44" s="778"/>
      <c r="L44" s="478">
        <v>1467000</v>
      </c>
      <c r="M44" s="478">
        <v>1467000</v>
      </c>
      <c r="N44" s="478">
        <v>1467000</v>
      </c>
      <c r="O44" s="478">
        <f>1467000+40000</f>
        <v>1507000</v>
      </c>
      <c r="P44" s="478">
        <f>1467000+40000</f>
        <v>1507000</v>
      </c>
      <c r="Q44" s="226"/>
      <c r="R44" s="748">
        <f>Q44/P44</f>
        <v>0</v>
      </c>
      <c r="S44" s="462"/>
      <c r="T44" s="219"/>
      <c r="U44" s="163"/>
      <c r="V44" s="163"/>
    </row>
    <row r="45" spans="1:22" ht="12" customHeight="1">
      <c r="A45" s="204"/>
      <c r="B45" s="205"/>
      <c r="C45" s="472" t="s">
        <v>359</v>
      </c>
      <c r="D45" s="478"/>
      <c r="E45" s="478"/>
      <c r="F45" s="478"/>
      <c r="G45" s="478"/>
      <c r="H45" s="478"/>
      <c r="I45" s="226"/>
      <c r="J45" s="226"/>
      <c r="K45" s="778"/>
      <c r="L45" s="478"/>
      <c r="M45" s="478"/>
      <c r="N45" s="478"/>
      <c r="O45" s="478"/>
      <c r="P45" s="478"/>
      <c r="Q45" s="226"/>
      <c r="R45" s="226"/>
      <c r="S45" s="462"/>
      <c r="T45" s="219"/>
      <c r="U45" s="163"/>
      <c r="V45" s="163"/>
    </row>
    <row r="46" spans="1:22" ht="12" customHeight="1">
      <c r="A46" s="206"/>
      <c r="B46" s="207" t="s">
        <v>143</v>
      </c>
      <c r="C46" s="473" t="s">
        <v>96</v>
      </c>
      <c r="D46" s="479"/>
      <c r="E46" s="479"/>
      <c r="F46" s="479"/>
      <c r="G46" s="479"/>
      <c r="H46" s="479"/>
      <c r="I46" s="227"/>
      <c r="J46" s="227"/>
      <c r="K46" s="486"/>
      <c r="L46" s="479"/>
      <c r="M46" s="479"/>
      <c r="N46" s="479"/>
      <c r="O46" s="479"/>
      <c r="P46" s="479"/>
      <c r="Q46" s="227"/>
      <c r="R46" s="227"/>
      <c r="S46" s="479"/>
      <c r="T46" s="227"/>
      <c r="U46" s="208"/>
      <c r="V46" s="208"/>
    </row>
    <row r="47" spans="1:22" ht="15" customHeight="1">
      <c r="A47" s="206"/>
      <c r="B47" s="207" t="s">
        <v>42</v>
      </c>
      <c r="C47" s="473" t="s">
        <v>145</v>
      </c>
      <c r="D47" s="479"/>
      <c r="E47" s="479"/>
      <c r="F47" s="479"/>
      <c r="G47" s="479"/>
      <c r="H47" s="479"/>
      <c r="I47" s="227"/>
      <c r="J47" s="227"/>
      <c r="K47" s="486"/>
      <c r="L47" s="479"/>
      <c r="M47" s="479"/>
      <c r="N47" s="479"/>
      <c r="O47" s="479"/>
      <c r="P47" s="479"/>
      <c r="Q47" s="227"/>
      <c r="R47" s="227"/>
      <c r="S47" s="479"/>
      <c r="T47" s="227"/>
      <c r="U47" s="208"/>
      <c r="V47" s="208"/>
    </row>
    <row r="48" spans="1:22" ht="13.5" thickBot="1">
      <c r="A48" s="206"/>
      <c r="B48" s="207" t="s">
        <v>278</v>
      </c>
      <c r="C48" s="473" t="s">
        <v>147</v>
      </c>
      <c r="D48" s="479"/>
      <c r="E48" s="479"/>
      <c r="F48" s="479"/>
      <c r="G48" s="479"/>
      <c r="H48" s="479"/>
      <c r="I48" s="227"/>
      <c r="J48" s="227"/>
      <c r="K48" s="486"/>
      <c r="L48" s="479"/>
      <c r="M48" s="479"/>
      <c r="N48" s="479"/>
      <c r="O48" s="479"/>
      <c r="P48" s="479"/>
      <c r="Q48" s="227"/>
      <c r="R48" s="227"/>
      <c r="S48" s="479"/>
      <c r="T48" s="227"/>
      <c r="U48" s="208"/>
      <c r="V48" s="208"/>
    </row>
    <row r="49" spans="1:22" ht="15" customHeight="1" thickBot="1">
      <c r="A49" s="167" t="s">
        <v>10</v>
      </c>
      <c r="B49" s="203"/>
      <c r="C49" s="474" t="s">
        <v>148</v>
      </c>
      <c r="D49" s="465"/>
      <c r="E49" s="465"/>
      <c r="F49" s="465"/>
      <c r="G49" s="465"/>
      <c r="H49" s="465"/>
      <c r="I49" s="222"/>
      <c r="J49" s="222"/>
      <c r="K49" s="455"/>
      <c r="L49" s="465"/>
      <c r="M49" s="465"/>
      <c r="N49" s="465"/>
      <c r="O49" s="465"/>
      <c r="P49" s="465"/>
      <c r="Q49" s="222"/>
      <c r="R49" s="222"/>
      <c r="S49" s="465"/>
      <c r="T49" s="222"/>
      <c r="U49" s="177"/>
      <c r="V49" s="177"/>
    </row>
    <row r="50" spans="1:22" ht="14.25" customHeight="1" thickBot="1">
      <c r="A50" s="187" t="s">
        <v>11</v>
      </c>
      <c r="B50" s="312"/>
      <c r="C50" s="475" t="s">
        <v>149</v>
      </c>
      <c r="D50" s="465"/>
      <c r="E50" s="465"/>
      <c r="F50" s="465"/>
      <c r="G50" s="465"/>
      <c r="H50" s="465"/>
      <c r="I50" s="222"/>
      <c r="J50" s="222"/>
      <c r="K50" s="455"/>
      <c r="L50" s="465"/>
      <c r="M50" s="465"/>
      <c r="N50" s="465"/>
      <c r="O50" s="465"/>
      <c r="P50" s="465"/>
      <c r="Q50" s="222"/>
      <c r="R50" s="222"/>
      <c r="S50" s="465"/>
      <c r="T50" s="222"/>
      <c r="U50" s="177"/>
      <c r="V50" s="177"/>
    </row>
    <row r="51" spans="1:22" ht="13.5" thickBot="1">
      <c r="A51" s="167">
        <v>5</v>
      </c>
      <c r="B51" s="209"/>
      <c r="C51" s="476" t="s">
        <v>283</v>
      </c>
      <c r="D51" s="468">
        <f aca="true" t="shared" si="13" ref="D51:I51">D37+D43+D49+D50</f>
        <v>124511000</v>
      </c>
      <c r="E51" s="468">
        <f t="shared" si="13"/>
        <v>124511000</v>
      </c>
      <c r="F51" s="468">
        <f>F37+F43+F49+F50</f>
        <v>125228050</v>
      </c>
      <c r="G51" s="468">
        <f>G37+G43+G49+G50</f>
        <v>125822262</v>
      </c>
      <c r="H51" s="468">
        <f>H37+H43+H49+H50</f>
        <v>126918195</v>
      </c>
      <c r="I51" s="468">
        <f t="shared" si="13"/>
        <v>0</v>
      </c>
      <c r="J51" s="376">
        <f>I51/H51</f>
        <v>0</v>
      </c>
      <c r="K51" s="192">
        <f aca="true" t="shared" si="14" ref="K51:Q51">K37+K43+K49+K50</f>
        <v>0</v>
      </c>
      <c r="L51" s="468">
        <f t="shared" si="14"/>
        <v>124511000</v>
      </c>
      <c r="M51" s="468">
        <f t="shared" si="14"/>
        <v>124511000</v>
      </c>
      <c r="N51" s="468">
        <f t="shared" si="14"/>
        <v>125228050</v>
      </c>
      <c r="O51" s="468">
        <f>O37+O43+O49+O50</f>
        <v>125822262</v>
      </c>
      <c r="P51" s="468">
        <f>P37+P43+P49+P50</f>
        <v>126918195</v>
      </c>
      <c r="Q51" s="468">
        <f t="shared" si="14"/>
        <v>0</v>
      </c>
      <c r="R51" s="376">
        <f>Q51/P51</f>
        <v>0</v>
      </c>
      <c r="S51" s="468"/>
      <c r="T51" s="225"/>
      <c r="U51" s="210"/>
      <c r="V51" s="210"/>
    </row>
    <row r="52" spans="1:22" ht="13.5" thickBot="1">
      <c r="A52" s="314"/>
      <c r="B52" s="315"/>
      <c r="C52" s="315"/>
      <c r="D52" s="508"/>
      <c r="E52" s="508"/>
      <c r="F52" s="508"/>
      <c r="G52" s="508"/>
      <c r="H52" s="508"/>
      <c r="I52" s="509"/>
      <c r="J52" s="509"/>
      <c r="K52" s="788"/>
      <c r="L52" s="508"/>
      <c r="M52" s="508"/>
      <c r="N52" s="508"/>
      <c r="O52" s="508"/>
      <c r="P52" s="508"/>
      <c r="Q52" s="509"/>
      <c r="R52" s="509"/>
      <c r="S52" s="508"/>
      <c r="T52" s="509"/>
      <c r="U52" s="510"/>
      <c r="V52" s="510"/>
    </row>
    <row r="53" spans="1:22" ht="13.5" thickBot="1">
      <c r="A53" s="213" t="s">
        <v>151</v>
      </c>
      <c r="B53" s="214"/>
      <c r="C53" s="477"/>
      <c r="D53" s="492">
        <v>23</v>
      </c>
      <c r="E53" s="492">
        <v>23</v>
      </c>
      <c r="F53" s="492">
        <v>23</v>
      </c>
      <c r="G53" s="492">
        <v>23</v>
      </c>
      <c r="H53" s="492">
        <v>23</v>
      </c>
      <c r="I53" s="230">
        <v>23</v>
      </c>
      <c r="J53" s="376">
        <f>I53/H53</f>
        <v>1</v>
      </c>
      <c r="K53" s="229"/>
      <c r="L53" s="492">
        <v>23</v>
      </c>
      <c r="M53" s="492">
        <v>23</v>
      </c>
      <c r="N53" s="492">
        <v>23</v>
      </c>
      <c r="O53" s="492">
        <v>23</v>
      </c>
      <c r="P53" s="492">
        <v>23</v>
      </c>
      <c r="Q53" s="230">
        <v>23</v>
      </c>
      <c r="R53" s="376">
        <f>Q53/P53</f>
        <v>1</v>
      </c>
      <c r="S53" s="492"/>
      <c r="T53" s="230"/>
      <c r="U53" s="480"/>
      <c r="V53" s="480"/>
    </row>
    <row r="54" spans="1:22" ht="13.5" thickBot="1">
      <c r="A54" s="213" t="s">
        <v>152</v>
      </c>
      <c r="B54" s="214"/>
      <c r="C54" s="477"/>
      <c r="D54" s="492">
        <v>0</v>
      </c>
      <c r="E54" s="492">
        <v>0</v>
      </c>
      <c r="F54" s="492">
        <v>0</v>
      </c>
      <c r="G54" s="492">
        <v>0</v>
      </c>
      <c r="H54" s="492">
        <v>0</v>
      </c>
      <c r="I54" s="230">
        <v>0</v>
      </c>
      <c r="J54" s="376"/>
      <c r="K54" s="229"/>
      <c r="L54" s="492">
        <v>0</v>
      </c>
      <c r="M54" s="492">
        <v>0</v>
      </c>
      <c r="N54" s="492">
        <v>0</v>
      </c>
      <c r="O54" s="492">
        <v>0</v>
      </c>
      <c r="P54" s="492">
        <v>0</v>
      </c>
      <c r="Q54" s="230">
        <v>0</v>
      </c>
      <c r="R54" s="376"/>
      <c r="S54" s="492"/>
      <c r="T54" s="230"/>
      <c r="U54" s="480"/>
      <c r="V54" s="480"/>
    </row>
    <row r="55" spans="6:11" ht="12.75">
      <c r="F55" s="318"/>
      <c r="G55" s="318"/>
      <c r="H55" s="318"/>
      <c r="I55" s="318"/>
      <c r="J55" s="318"/>
      <c r="K55" s="318"/>
    </row>
    <row r="56" spans="1:11" ht="12.75">
      <c r="A56" s="1099" t="s">
        <v>153</v>
      </c>
      <c r="B56" s="1099"/>
      <c r="C56" s="1099"/>
      <c r="D56" s="1099"/>
      <c r="E56" s="296"/>
      <c r="F56" s="296"/>
      <c r="G56" s="738"/>
      <c r="H56" s="738"/>
      <c r="I56" s="738"/>
      <c r="J56" s="296"/>
      <c r="K56" s="296"/>
    </row>
    <row r="57" spans="1:3" ht="12.75">
      <c r="A57" s="1099"/>
      <c r="B57" s="1099"/>
      <c r="C57" s="1099"/>
    </row>
    <row r="58" spans="4:11" ht="12.75">
      <c r="D58" s="318">
        <v>0</v>
      </c>
      <c r="E58" s="318"/>
      <c r="F58" s="318"/>
      <c r="G58" s="318"/>
      <c r="H58" s="318"/>
      <c r="I58" s="318"/>
      <c r="J58" s="318"/>
      <c r="K58" s="318"/>
    </row>
  </sheetData>
  <sheetProtection/>
  <mergeCells count="8">
    <mergeCell ref="A3:S3"/>
    <mergeCell ref="L1:S1"/>
    <mergeCell ref="A57:C57"/>
    <mergeCell ref="A56:D56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70" zoomScaleNormal="70" workbookViewId="0" topLeftCell="A2">
      <selection activeCell="T41" sqref="T41"/>
    </sheetView>
  </sheetViews>
  <sheetFormatPr defaultColWidth="9.140625" defaultRowHeight="12.75"/>
  <cols>
    <col min="1" max="1" width="9.140625" style="28" customWidth="1"/>
    <col min="2" max="2" width="54.28125" style="28" customWidth="1"/>
    <col min="3" max="3" width="5.57421875" style="70" customWidth="1"/>
    <col min="4" max="4" width="17.421875" style="72" customWidth="1"/>
    <col min="5" max="8" width="14.140625" style="72" customWidth="1"/>
    <col min="9" max="10" width="14.140625" style="72" hidden="1" customWidth="1"/>
    <col min="11" max="11" width="20.28125" style="28" customWidth="1"/>
    <col min="12" max="15" width="15.28125" style="28" customWidth="1"/>
    <col min="16" max="17" width="15.28125" style="28" hidden="1" customWidth="1"/>
    <col min="18" max="18" width="18.28125" style="28" customWidth="1"/>
    <col min="19" max="19" width="13.28125" style="28" customWidth="1"/>
    <col min="20" max="20" width="14.7109375" style="28" customWidth="1"/>
    <col min="21" max="21" width="12.140625" style="28" customWidth="1"/>
    <col min="22" max="22" width="14.8515625" style="28" customWidth="1"/>
    <col min="23" max="23" width="9.140625" style="28" hidden="1" customWidth="1"/>
    <col min="24" max="24" width="4.421875" style="28" hidden="1" customWidth="1"/>
    <col min="25" max="25" width="9.140625" style="28" customWidth="1"/>
    <col min="26" max="16384" width="9.140625" style="28" customWidth="1"/>
  </cols>
  <sheetData>
    <row r="1" spans="1:19" ht="15.75">
      <c r="A1" s="1116" t="s">
        <v>61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56"/>
    </row>
    <row r="2" spans="1:19" ht="16.5" thickBot="1">
      <c r="A2" s="66"/>
      <c r="B2" s="56"/>
      <c r="C2" s="56"/>
      <c r="D2" s="67"/>
      <c r="E2" s="67"/>
      <c r="F2" s="67"/>
      <c r="G2" s="67"/>
      <c r="H2" s="67"/>
      <c r="I2" s="67"/>
      <c r="J2" s="67"/>
      <c r="K2" s="56"/>
      <c r="L2" s="56"/>
      <c r="M2" s="56"/>
      <c r="N2" s="56"/>
      <c r="O2" s="56"/>
      <c r="P2" s="56"/>
      <c r="Q2" s="56"/>
      <c r="R2" s="56" t="s">
        <v>511</v>
      </c>
      <c r="S2" s="56"/>
    </row>
    <row r="3" spans="1:24" s="68" customFormat="1" ht="31.5" customHeight="1" thickBot="1">
      <c r="A3" s="23" t="s">
        <v>6</v>
      </c>
      <c r="B3" s="24" t="s">
        <v>36</v>
      </c>
      <c r="C3" s="450" t="s">
        <v>273</v>
      </c>
      <c r="D3" s="1108" t="s">
        <v>5</v>
      </c>
      <c r="E3" s="1109"/>
      <c r="F3" s="1109"/>
      <c r="G3" s="1109"/>
      <c r="H3" s="1109"/>
      <c r="I3" s="1109"/>
      <c r="J3" s="1110"/>
      <c r="K3" s="1111" t="s">
        <v>274</v>
      </c>
      <c r="L3" s="1112"/>
      <c r="M3" s="1112"/>
      <c r="N3" s="1112"/>
      <c r="O3" s="1112"/>
      <c r="P3" s="1112"/>
      <c r="Q3" s="1113"/>
      <c r="R3" s="1111" t="s">
        <v>28</v>
      </c>
      <c r="S3" s="1112"/>
      <c r="T3" s="1112"/>
      <c r="U3" s="1112"/>
      <c r="V3" s="1112"/>
      <c r="W3" s="1112"/>
      <c r="X3" s="1113"/>
    </row>
    <row r="4" spans="1:24" s="68" customFormat="1" ht="31.5" customHeight="1">
      <c r="A4" s="306"/>
      <c r="B4" s="307"/>
      <c r="C4" s="535"/>
      <c r="D4" s="790" t="s">
        <v>67</v>
      </c>
      <c r="E4" s="791" t="s">
        <v>231</v>
      </c>
      <c r="F4" s="791" t="s">
        <v>234</v>
      </c>
      <c r="G4" s="792" t="s">
        <v>237</v>
      </c>
      <c r="H4" s="792" t="s">
        <v>251</v>
      </c>
      <c r="I4" s="792" t="s">
        <v>256</v>
      </c>
      <c r="J4" s="793" t="s">
        <v>240</v>
      </c>
      <c r="K4" s="790" t="s">
        <v>67</v>
      </c>
      <c r="L4" s="791" t="s">
        <v>231</v>
      </c>
      <c r="M4" s="791" t="s">
        <v>234</v>
      </c>
      <c r="N4" s="792" t="s">
        <v>237</v>
      </c>
      <c r="O4" s="792" t="s">
        <v>251</v>
      </c>
      <c r="P4" s="792" t="s">
        <v>256</v>
      </c>
      <c r="Q4" s="793" t="s">
        <v>240</v>
      </c>
      <c r="R4" s="790" t="s">
        <v>67</v>
      </c>
      <c r="S4" s="791" t="s">
        <v>231</v>
      </c>
      <c r="T4" s="791" t="s">
        <v>234</v>
      </c>
      <c r="U4" s="792" t="s">
        <v>237</v>
      </c>
      <c r="V4" s="792" t="s">
        <v>251</v>
      </c>
      <c r="W4" s="792" t="s">
        <v>256</v>
      </c>
      <c r="X4" s="793" t="s">
        <v>240</v>
      </c>
    </row>
    <row r="5" spans="1:24" ht="29.25" customHeight="1">
      <c r="A5" s="55">
        <v>1</v>
      </c>
      <c r="B5" s="80" t="s">
        <v>519</v>
      </c>
      <c r="C5" s="536" t="s">
        <v>209</v>
      </c>
      <c r="D5" s="543">
        <v>50000</v>
      </c>
      <c r="E5" s="1007">
        <v>50000</v>
      </c>
      <c r="F5" s="1007">
        <v>50000</v>
      </c>
      <c r="G5" s="1007">
        <v>50000</v>
      </c>
      <c r="H5" s="1007">
        <v>50000</v>
      </c>
      <c r="I5" s="1007"/>
      <c r="J5" s="548"/>
      <c r="K5" s="543">
        <v>0</v>
      </c>
      <c r="L5" s="1007">
        <v>0</v>
      </c>
      <c r="M5" s="1007">
        <v>0</v>
      </c>
      <c r="N5" s="1007">
        <v>0</v>
      </c>
      <c r="O5" s="1007">
        <v>0</v>
      </c>
      <c r="P5" s="1007"/>
      <c r="Q5" s="548"/>
      <c r="R5" s="543">
        <v>50000</v>
      </c>
      <c r="S5" s="1007">
        <v>50000</v>
      </c>
      <c r="T5" s="1007">
        <v>50000</v>
      </c>
      <c r="U5" s="1007">
        <v>50000</v>
      </c>
      <c r="V5" s="1007">
        <v>50000</v>
      </c>
      <c r="W5" s="1007"/>
      <c r="X5" s="548">
        <f>V5/U5</f>
        <v>1</v>
      </c>
    </row>
    <row r="6" spans="1:24" ht="29.25" customHeight="1">
      <c r="A6" s="55">
        <v>2</v>
      </c>
      <c r="B6" s="80" t="s">
        <v>552</v>
      </c>
      <c r="C6" s="536" t="s">
        <v>209</v>
      </c>
      <c r="D6" s="544"/>
      <c r="E6" s="1006"/>
      <c r="F6" s="1006">
        <v>720000</v>
      </c>
      <c r="G6" s="1006">
        <v>720000</v>
      </c>
      <c r="H6" s="1006">
        <v>720000</v>
      </c>
      <c r="I6" s="1006"/>
      <c r="J6" s="548"/>
      <c r="K6" s="549"/>
      <c r="L6" s="1004"/>
      <c r="M6" s="1004">
        <v>0</v>
      </c>
      <c r="N6" s="1004">
        <v>0</v>
      </c>
      <c r="O6" s="1004">
        <v>0</v>
      </c>
      <c r="P6" s="1004"/>
      <c r="Q6" s="548"/>
      <c r="R6" s="549"/>
      <c r="S6" s="1004"/>
      <c r="T6" s="1004">
        <v>720000</v>
      </c>
      <c r="U6" s="1004">
        <v>720000</v>
      </c>
      <c r="V6" s="1004">
        <v>720000</v>
      </c>
      <c r="W6" s="1004"/>
      <c r="X6" s="548">
        <f>V6/U6</f>
        <v>1</v>
      </c>
    </row>
    <row r="7" spans="1:24" ht="29.25" customHeight="1">
      <c r="A7" s="55">
        <v>3</v>
      </c>
      <c r="B7" s="1009" t="s">
        <v>553</v>
      </c>
      <c r="C7" s="537" t="s">
        <v>209</v>
      </c>
      <c r="D7" s="545"/>
      <c r="E7" s="1008"/>
      <c r="F7" s="1008">
        <v>889000</v>
      </c>
      <c r="G7" s="1008">
        <f>889000+2274803+614197</f>
        <v>3778000</v>
      </c>
      <c r="H7" s="1008">
        <f>889000+2274803+614197</f>
        <v>3778000</v>
      </c>
      <c r="I7" s="1008"/>
      <c r="J7" s="548"/>
      <c r="K7" s="550"/>
      <c r="L7" s="796"/>
      <c r="M7" s="796">
        <v>889000</v>
      </c>
      <c r="N7" s="796">
        <v>3778000</v>
      </c>
      <c r="O7" s="796">
        <v>3778000</v>
      </c>
      <c r="P7" s="796"/>
      <c r="Q7" s="548"/>
      <c r="R7" s="550"/>
      <c r="S7" s="796"/>
      <c r="T7" s="796">
        <v>0</v>
      </c>
      <c r="U7" s="796">
        <v>0</v>
      </c>
      <c r="V7" s="796">
        <v>0</v>
      </c>
      <c r="W7" s="796"/>
      <c r="X7" s="548" t="e">
        <f>V7/U7</f>
        <v>#DIV/0!</v>
      </c>
    </row>
    <row r="8" spans="1:24" ht="29.25" customHeight="1">
      <c r="A8" s="55">
        <v>4</v>
      </c>
      <c r="B8" s="80" t="s">
        <v>554</v>
      </c>
      <c r="C8" s="537" t="s">
        <v>209</v>
      </c>
      <c r="D8" s="546"/>
      <c r="E8" s="69"/>
      <c r="F8" s="69">
        <f>258260+69730</f>
        <v>327990</v>
      </c>
      <c r="G8" s="69">
        <f>258260+69730</f>
        <v>327990</v>
      </c>
      <c r="H8" s="69">
        <f>258260+69730</f>
        <v>327990</v>
      </c>
      <c r="I8" s="69"/>
      <c r="J8" s="548"/>
      <c r="K8" s="550"/>
      <c r="L8" s="796"/>
      <c r="M8" s="796">
        <v>0</v>
      </c>
      <c r="N8" s="796">
        <v>0</v>
      </c>
      <c r="O8" s="796">
        <v>0</v>
      </c>
      <c r="P8" s="796"/>
      <c r="Q8" s="548"/>
      <c r="R8" s="550"/>
      <c r="S8" s="796"/>
      <c r="T8" s="796">
        <v>327990</v>
      </c>
      <c r="U8" s="796">
        <v>327990</v>
      </c>
      <c r="V8" s="796">
        <v>327990</v>
      </c>
      <c r="W8" s="69"/>
      <c r="X8" s="548">
        <f>V8/U8</f>
        <v>1</v>
      </c>
    </row>
    <row r="9" spans="1:24" ht="29.25" customHeight="1">
      <c r="A9" s="55">
        <v>5</v>
      </c>
      <c r="B9" s="931" t="s">
        <v>555</v>
      </c>
      <c r="C9" s="537" t="s">
        <v>209</v>
      </c>
      <c r="D9" s="546"/>
      <c r="E9" s="69"/>
      <c r="F9" s="69">
        <f>109370+29530</f>
        <v>138900</v>
      </c>
      <c r="G9" s="69">
        <f>109370+29530</f>
        <v>138900</v>
      </c>
      <c r="H9" s="69">
        <f>109370+29530</f>
        <v>138900</v>
      </c>
      <c r="I9" s="69"/>
      <c r="J9" s="548"/>
      <c r="K9" s="550"/>
      <c r="L9" s="796"/>
      <c r="M9" s="796">
        <v>0</v>
      </c>
      <c r="N9" s="796">
        <v>0</v>
      </c>
      <c r="O9" s="796">
        <v>0</v>
      </c>
      <c r="P9" s="796"/>
      <c r="Q9" s="548"/>
      <c r="R9" s="550"/>
      <c r="S9" s="796"/>
      <c r="T9" s="796">
        <v>138900</v>
      </c>
      <c r="U9" s="796">
        <v>138900</v>
      </c>
      <c r="V9" s="796">
        <v>138900</v>
      </c>
      <c r="W9" s="69"/>
      <c r="X9" s="548">
        <f>V9/U9</f>
        <v>1</v>
      </c>
    </row>
    <row r="10" spans="1:24" ht="29.25" customHeight="1">
      <c r="A10" s="55">
        <v>6</v>
      </c>
      <c r="B10" s="931" t="s">
        <v>556</v>
      </c>
      <c r="C10" s="537" t="s">
        <v>209</v>
      </c>
      <c r="D10" s="546"/>
      <c r="E10" s="69"/>
      <c r="F10" s="69">
        <f>78740+21260</f>
        <v>100000</v>
      </c>
      <c r="G10" s="69">
        <f>78740+21260</f>
        <v>100000</v>
      </c>
      <c r="H10" s="69">
        <f>78740+21260</f>
        <v>100000</v>
      </c>
      <c r="I10" s="69"/>
      <c r="J10" s="548"/>
      <c r="K10" s="550"/>
      <c r="L10" s="796"/>
      <c r="M10" s="796">
        <v>100000</v>
      </c>
      <c r="N10" s="796">
        <v>100000</v>
      </c>
      <c r="O10" s="796">
        <v>100000</v>
      </c>
      <c r="P10" s="796"/>
      <c r="Q10" s="548"/>
      <c r="R10" s="550"/>
      <c r="S10" s="796"/>
      <c r="T10" s="796">
        <v>0</v>
      </c>
      <c r="U10" s="796">
        <v>0</v>
      </c>
      <c r="V10" s="796">
        <v>0</v>
      </c>
      <c r="W10" s="796"/>
      <c r="X10" s="548"/>
    </row>
    <row r="11" spans="1:24" ht="29.25" customHeight="1">
      <c r="A11" s="55">
        <v>7</v>
      </c>
      <c r="B11" s="80" t="s">
        <v>557</v>
      </c>
      <c r="C11" s="537" t="s">
        <v>209</v>
      </c>
      <c r="D11" s="546"/>
      <c r="E11" s="69"/>
      <c r="F11" s="69">
        <f>79000+21330</f>
        <v>100330</v>
      </c>
      <c r="G11" s="69">
        <f>79000+21330</f>
        <v>100330</v>
      </c>
      <c r="H11" s="69">
        <f>79000+21330</f>
        <v>100330</v>
      </c>
      <c r="I11" s="69"/>
      <c r="J11" s="548"/>
      <c r="K11" s="550"/>
      <c r="L11" s="796"/>
      <c r="M11" s="796">
        <v>0</v>
      </c>
      <c r="N11" s="796">
        <v>0</v>
      </c>
      <c r="O11" s="796">
        <v>0</v>
      </c>
      <c r="P11" s="796"/>
      <c r="Q11" s="548"/>
      <c r="R11" s="550"/>
      <c r="S11" s="796"/>
      <c r="T11" s="796">
        <v>100330</v>
      </c>
      <c r="U11" s="796">
        <v>100330</v>
      </c>
      <c r="V11" s="796">
        <v>100330</v>
      </c>
      <c r="W11" s="796"/>
      <c r="X11" s="548"/>
    </row>
    <row r="12" spans="1:24" ht="29.25" customHeight="1">
      <c r="A12" s="55">
        <v>8</v>
      </c>
      <c r="B12" s="83" t="s">
        <v>576</v>
      </c>
      <c r="C12" s="537" t="s">
        <v>209</v>
      </c>
      <c r="D12" s="546"/>
      <c r="E12" s="69"/>
      <c r="F12" s="69"/>
      <c r="G12" s="69">
        <f>24000+6480</f>
        <v>30480</v>
      </c>
      <c r="H12" s="69">
        <f>24000+6480</f>
        <v>30480</v>
      </c>
      <c r="I12" s="69"/>
      <c r="J12" s="548"/>
      <c r="K12" s="550"/>
      <c r="L12" s="796"/>
      <c r="M12" s="796"/>
      <c r="N12" s="796"/>
      <c r="O12" s="796"/>
      <c r="P12" s="796"/>
      <c r="Q12" s="548"/>
      <c r="R12" s="550"/>
      <c r="S12" s="796"/>
      <c r="T12" s="796"/>
      <c r="U12" s="69">
        <f>24000+6480</f>
        <v>30480</v>
      </c>
      <c r="V12" s="69">
        <f>24000+6480</f>
        <v>30480</v>
      </c>
      <c r="W12" s="796"/>
      <c r="X12" s="548"/>
    </row>
    <row r="13" spans="1:24" ht="29.25" customHeight="1">
      <c r="A13" s="55">
        <v>9</v>
      </c>
      <c r="B13" s="80" t="s">
        <v>577</v>
      </c>
      <c r="C13" s="537" t="s">
        <v>209</v>
      </c>
      <c r="D13" s="546"/>
      <c r="E13" s="69"/>
      <c r="F13" s="69"/>
      <c r="G13" s="69">
        <v>9950</v>
      </c>
      <c r="H13" s="69">
        <v>9950</v>
      </c>
      <c r="I13" s="69"/>
      <c r="J13" s="548" t="e">
        <f>G13/E13</f>
        <v>#DIV/0!</v>
      </c>
      <c r="K13" s="550"/>
      <c r="L13" s="796"/>
      <c r="M13" s="796"/>
      <c r="N13" s="796"/>
      <c r="O13" s="796"/>
      <c r="P13" s="796"/>
      <c r="Q13" s="548" t="e">
        <f>N13/L13</f>
        <v>#DIV/0!</v>
      </c>
      <c r="R13" s="550"/>
      <c r="S13" s="796"/>
      <c r="T13" s="796"/>
      <c r="U13" s="69">
        <v>9950</v>
      </c>
      <c r="V13" s="69">
        <v>9950</v>
      </c>
      <c r="W13" s="796"/>
      <c r="X13" s="548" t="e">
        <f>U13/S13</f>
        <v>#DIV/0!</v>
      </c>
    </row>
    <row r="14" spans="1:24" ht="29.25" customHeight="1" thickBot="1">
      <c r="A14" s="55">
        <v>10</v>
      </c>
      <c r="B14" s="82" t="s">
        <v>591</v>
      </c>
      <c r="C14" s="537" t="s">
        <v>209</v>
      </c>
      <c r="D14" s="546"/>
      <c r="E14" s="69"/>
      <c r="F14" s="69"/>
      <c r="G14" s="69"/>
      <c r="H14" s="69">
        <v>350520</v>
      </c>
      <c r="I14" s="69"/>
      <c r="J14" s="548" t="e">
        <f>G14/E14</f>
        <v>#DIV/0!</v>
      </c>
      <c r="K14" s="550"/>
      <c r="L14" s="796"/>
      <c r="M14" s="796"/>
      <c r="N14" s="796"/>
      <c r="O14" s="796"/>
      <c r="P14" s="796"/>
      <c r="Q14" s="548" t="e">
        <f>N14/L14</f>
        <v>#DIV/0!</v>
      </c>
      <c r="R14" s="550"/>
      <c r="S14" s="796"/>
      <c r="T14" s="796"/>
      <c r="U14" s="796"/>
      <c r="V14" s="69">
        <v>350520</v>
      </c>
      <c r="W14" s="796"/>
      <c r="X14" s="548" t="e">
        <f>U14/S14</f>
        <v>#DIV/0!</v>
      </c>
    </row>
    <row r="15" spans="1:24" ht="29.25" customHeight="1" hidden="1" thickBot="1">
      <c r="A15" s="55">
        <v>11</v>
      </c>
      <c r="B15" s="82"/>
      <c r="C15" s="537"/>
      <c r="D15" s="546"/>
      <c r="E15" s="69"/>
      <c r="F15" s="69"/>
      <c r="G15" s="69"/>
      <c r="H15" s="69"/>
      <c r="I15" s="69"/>
      <c r="J15" s="548" t="e">
        <f>G15/E15</f>
        <v>#DIV/0!</v>
      </c>
      <c r="K15" s="550"/>
      <c r="L15" s="796"/>
      <c r="M15" s="796"/>
      <c r="N15" s="796"/>
      <c r="O15" s="796"/>
      <c r="P15" s="796"/>
      <c r="Q15" s="548" t="e">
        <f>N15/L15</f>
        <v>#DIV/0!</v>
      </c>
      <c r="R15" s="550"/>
      <c r="S15" s="796"/>
      <c r="T15" s="796"/>
      <c r="U15" s="796"/>
      <c r="V15" s="796"/>
      <c r="W15" s="796"/>
      <c r="X15" s="548" t="e">
        <f>U15/S15</f>
        <v>#DIV/0!</v>
      </c>
    </row>
    <row r="16" spans="1:24" ht="31.5" customHeight="1" thickBot="1">
      <c r="A16" s="1114" t="s">
        <v>1</v>
      </c>
      <c r="B16" s="1117"/>
      <c r="C16" s="538"/>
      <c r="D16" s="547">
        <f>SUM(D5:D11)</f>
        <v>50000</v>
      </c>
      <c r="E16" s="794">
        <f>SUM(E5:E11)</f>
        <v>50000</v>
      </c>
      <c r="F16" s="794">
        <f>SUM(F5:F11)</f>
        <v>2326220</v>
      </c>
      <c r="G16" s="794">
        <f>SUM(G5:G15)</f>
        <v>5255650</v>
      </c>
      <c r="H16" s="794">
        <f>SUM(H5:H15)</f>
        <v>5606170</v>
      </c>
      <c r="I16" s="794">
        <f>SUM(I5:I12)</f>
        <v>0</v>
      </c>
      <c r="J16" s="795">
        <f>H16/G16</f>
        <v>1.0666939389038463</v>
      </c>
      <c r="K16" s="547">
        <f aca="true" t="shared" si="0" ref="K16:P16">SUM(K5:K15)</f>
        <v>0</v>
      </c>
      <c r="L16" s="794">
        <f t="shared" si="0"/>
        <v>0</v>
      </c>
      <c r="M16" s="794">
        <f t="shared" si="0"/>
        <v>989000</v>
      </c>
      <c r="N16" s="794">
        <f>SUM(N5:N15)</f>
        <v>3878000</v>
      </c>
      <c r="O16" s="794">
        <f>SUM(O5:O15)</f>
        <v>3878000</v>
      </c>
      <c r="P16" s="794">
        <f t="shared" si="0"/>
        <v>0</v>
      </c>
      <c r="Q16" s="795">
        <f>O16/N16</f>
        <v>1</v>
      </c>
      <c r="R16" s="547">
        <f aca="true" t="shared" si="1" ref="R16:W16">SUM(R5:R15)</f>
        <v>50000</v>
      </c>
      <c r="S16" s="794">
        <f t="shared" si="1"/>
        <v>50000</v>
      </c>
      <c r="T16" s="794">
        <f t="shared" si="1"/>
        <v>1337220</v>
      </c>
      <c r="U16" s="794">
        <f t="shared" si="1"/>
        <v>1377650</v>
      </c>
      <c r="V16" s="794">
        <f>SUM(V5:V15)</f>
        <v>1728170</v>
      </c>
      <c r="W16" s="794">
        <f t="shared" si="1"/>
        <v>0</v>
      </c>
      <c r="X16" s="795">
        <f>V16/U16</f>
        <v>1.2544332740536421</v>
      </c>
    </row>
    <row r="17" spans="1:20" ht="15.75">
      <c r="A17" s="56"/>
      <c r="B17" s="56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T17" s="72"/>
    </row>
    <row r="18" spans="1:18" ht="14.25">
      <c r="A18" s="1116" t="s">
        <v>62</v>
      </c>
      <c r="B18" s="1116"/>
      <c r="C18" s="1116"/>
      <c r="D18" s="1116"/>
      <c r="E18" s="1116"/>
      <c r="F18" s="1116"/>
      <c r="G18" s="1116"/>
      <c r="H18" s="1116"/>
      <c r="I18" s="1116"/>
      <c r="J18" s="1116"/>
      <c r="K18" s="1116"/>
      <c r="L18" s="1116"/>
      <c r="M18" s="1116"/>
      <c r="N18" s="1116"/>
      <c r="O18" s="1116"/>
      <c r="P18" s="1116"/>
      <c r="Q18" s="1116"/>
      <c r="R18" s="1116"/>
    </row>
    <row r="19" spans="1:18" ht="13.5" thickBot="1">
      <c r="A19" s="70"/>
      <c r="B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24" ht="29.25" customHeight="1" thickBot="1">
      <c r="A20" s="23" t="s">
        <v>6</v>
      </c>
      <c r="B20" s="24" t="s">
        <v>32</v>
      </c>
      <c r="C20" s="450" t="s">
        <v>273</v>
      </c>
      <c r="D20" s="1108" t="s">
        <v>5</v>
      </c>
      <c r="E20" s="1109"/>
      <c r="F20" s="1109"/>
      <c r="G20" s="1109"/>
      <c r="H20" s="1109"/>
      <c r="I20" s="1109"/>
      <c r="J20" s="1110"/>
      <c r="K20" s="1111" t="s">
        <v>274</v>
      </c>
      <c r="L20" s="1112"/>
      <c r="M20" s="1112"/>
      <c r="N20" s="1112"/>
      <c r="O20" s="1112"/>
      <c r="P20" s="1112"/>
      <c r="Q20" s="1113"/>
      <c r="R20" s="1111" t="s">
        <v>28</v>
      </c>
      <c r="S20" s="1112"/>
      <c r="T20" s="1112"/>
      <c r="U20" s="1112"/>
      <c r="V20" s="1112"/>
      <c r="W20" s="1112"/>
      <c r="X20" s="1113"/>
    </row>
    <row r="21" spans="1:24" ht="28.5" customHeight="1" thickBot="1">
      <c r="A21" s="308"/>
      <c r="B21" s="309"/>
      <c r="C21" s="539"/>
      <c r="D21" s="790" t="s">
        <v>67</v>
      </c>
      <c r="E21" s="791" t="s">
        <v>231</v>
      </c>
      <c r="F21" s="791" t="s">
        <v>234</v>
      </c>
      <c r="G21" s="792" t="s">
        <v>237</v>
      </c>
      <c r="H21" s="792" t="s">
        <v>251</v>
      </c>
      <c r="I21" s="792" t="s">
        <v>256</v>
      </c>
      <c r="J21" s="793" t="s">
        <v>240</v>
      </c>
      <c r="K21" s="790" t="s">
        <v>67</v>
      </c>
      <c r="L21" s="791" t="s">
        <v>231</v>
      </c>
      <c r="M21" s="791" t="s">
        <v>234</v>
      </c>
      <c r="N21" s="792" t="s">
        <v>237</v>
      </c>
      <c r="O21" s="792" t="s">
        <v>251</v>
      </c>
      <c r="P21" s="792" t="s">
        <v>256</v>
      </c>
      <c r="Q21" s="793" t="s">
        <v>240</v>
      </c>
      <c r="R21" s="790" t="s">
        <v>67</v>
      </c>
      <c r="S21" s="791" t="s">
        <v>231</v>
      </c>
      <c r="T21" s="791" t="s">
        <v>234</v>
      </c>
      <c r="U21" s="792" t="s">
        <v>237</v>
      </c>
      <c r="V21" s="792" t="s">
        <v>251</v>
      </c>
      <c r="W21" s="792" t="s">
        <v>256</v>
      </c>
      <c r="X21" s="793" t="s">
        <v>240</v>
      </c>
    </row>
    <row r="22" spans="1:24" ht="29.25" customHeight="1">
      <c r="A22" s="71">
        <v>1</v>
      </c>
      <c r="B22" s="84" t="s">
        <v>520</v>
      </c>
      <c r="C22" s="540" t="s">
        <v>209</v>
      </c>
      <c r="D22" s="551">
        <v>10000000</v>
      </c>
      <c r="E22" s="798">
        <v>10000000</v>
      </c>
      <c r="F22" s="798">
        <v>10000000</v>
      </c>
      <c r="G22" s="798">
        <v>10000000</v>
      </c>
      <c r="H22" s="798">
        <v>10000000</v>
      </c>
      <c r="I22" s="798"/>
      <c r="J22" s="548"/>
      <c r="K22" s="554">
        <v>0</v>
      </c>
      <c r="L22" s="1002">
        <v>0</v>
      </c>
      <c r="M22" s="1002"/>
      <c r="N22" s="1002"/>
      <c r="O22" s="1002"/>
      <c r="P22" s="1002"/>
      <c r="Q22" s="548"/>
      <c r="R22" s="554">
        <v>10000000</v>
      </c>
      <c r="S22" s="1002">
        <v>10000000</v>
      </c>
      <c r="T22" s="798">
        <v>10000000</v>
      </c>
      <c r="U22" s="798">
        <v>10000000</v>
      </c>
      <c r="V22" s="798">
        <v>10000000</v>
      </c>
      <c r="W22" s="1002"/>
      <c r="X22" s="548">
        <f aca="true" t="shared" si="2" ref="X22:X28">V22/U22</f>
        <v>1</v>
      </c>
    </row>
    <row r="23" spans="1:24" ht="29.25" customHeight="1">
      <c r="A23" s="54">
        <v>2</v>
      </c>
      <c r="B23" s="85" t="s">
        <v>521</v>
      </c>
      <c r="C23" s="541" t="s">
        <v>209</v>
      </c>
      <c r="D23" s="552">
        <v>12000000</v>
      </c>
      <c r="E23" s="1005">
        <v>12000000</v>
      </c>
      <c r="F23" s="1005">
        <f>12000000-2831354-764465</f>
        <v>8404181</v>
      </c>
      <c r="G23" s="1005">
        <f>12000000-2831354-764465</f>
        <v>8404181</v>
      </c>
      <c r="H23" s="1005">
        <f>12000000-2831354-764465</f>
        <v>8404181</v>
      </c>
      <c r="I23" s="1005"/>
      <c r="J23" s="548"/>
      <c r="K23" s="555">
        <v>0</v>
      </c>
      <c r="L23" s="1003">
        <v>0</v>
      </c>
      <c r="M23" s="1003"/>
      <c r="N23" s="1003"/>
      <c r="O23" s="1003"/>
      <c r="P23" s="1003"/>
      <c r="Q23" s="548"/>
      <c r="R23" s="552">
        <v>12000000</v>
      </c>
      <c r="S23" s="1005">
        <v>12000000</v>
      </c>
      <c r="T23" s="1005">
        <f>12000000-2831354-764465</f>
        <v>8404181</v>
      </c>
      <c r="U23" s="1005">
        <f>12000000-2831354-764465</f>
        <v>8404181</v>
      </c>
      <c r="V23" s="1005">
        <f>12000000-2831354-764465</f>
        <v>8404181</v>
      </c>
      <c r="W23" s="1003"/>
      <c r="X23" s="548">
        <f t="shared" si="2"/>
        <v>1</v>
      </c>
    </row>
    <row r="24" spans="1:24" ht="29.25" customHeight="1">
      <c r="A24" s="54">
        <v>3</v>
      </c>
      <c r="B24" s="81" t="s">
        <v>522</v>
      </c>
      <c r="C24" s="537" t="s">
        <v>209</v>
      </c>
      <c r="D24" s="546">
        <v>7000000</v>
      </c>
      <c r="E24" s="69">
        <v>7000000</v>
      </c>
      <c r="F24" s="69">
        <v>7000000</v>
      </c>
      <c r="G24" s="69">
        <v>7000000</v>
      </c>
      <c r="H24" s="69">
        <v>7000000</v>
      </c>
      <c r="I24" s="69"/>
      <c r="J24" s="548"/>
      <c r="K24" s="550">
        <v>0</v>
      </c>
      <c r="L24" s="796">
        <v>0</v>
      </c>
      <c r="M24" s="796"/>
      <c r="N24" s="796"/>
      <c r="O24" s="796"/>
      <c r="P24" s="796"/>
      <c r="Q24" s="548"/>
      <c r="R24" s="546">
        <v>7000000</v>
      </c>
      <c r="S24" s="69">
        <v>7000000</v>
      </c>
      <c r="T24" s="69">
        <v>7000000</v>
      </c>
      <c r="U24" s="69">
        <v>7000000</v>
      </c>
      <c r="V24" s="69">
        <v>7000000</v>
      </c>
      <c r="W24" s="796"/>
      <c r="X24" s="548">
        <f t="shared" si="2"/>
        <v>1</v>
      </c>
    </row>
    <row r="25" spans="1:24" ht="29.25" customHeight="1">
      <c r="A25" s="54">
        <v>4</v>
      </c>
      <c r="B25" s="80" t="s">
        <v>574</v>
      </c>
      <c r="C25" s="536" t="s">
        <v>209</v>
      </c>
      <c r="D25" s="544"/>
      <c r="E25" s="1006"/>
      <c r="F25" s="1006"/>
      <c r="G25" s="1006">
        <v>1524000</v>
      </c>
      <c r="H25" s="1006">
        <v>1524000</v>
      </c>
      <c r="I25" s="1006"/>
      <c r="J25" s="548"/>
      <c r="K25" s="550"/>
      <c r="L25" s="796"/>
      <c r="M25" s="796"/>
      <c r="N25" s="796"/>
      <c r="O25" s="796"/>
      <c r="P25" s="796"/>
      <c r="Q25" s="548"/>
      <c r="R25" s="550"/>
      <c r="S25" s="796"/>
      <c r="T25" s="1006"/>
      <c r="U25" s="1006">
        <v>1524000</v>
      </c>
      <c r="V25" s="1006">
        <v>1524000</v>
      </c>
      <c r="W25" s="796"/>
      <c r="X25" s="548">
        <f t="shared" si="2"/>
        <v>1</v>
      </c>
    </row>
    <row r="26" spans="1:24" ht="29.25" customHeight="1">
      <c r="A26" s="54">
        <v>5</v>
      </c>
      <c r="B26" s="80" t="s">
        <v>575</v>
      </c>
      <c r="C26" s="536" t="s">
        <v>209</v>
      </c>
      <c r="D26" s="544"/>
      <c r="E26" s="1006"/>
      <c r="F26" s="1006"/>
      <c r="G26" s="1006">
        <v>459143</v>
      </c>
      <c r="H26" s="1006">
        <v>459143</v>
      </c>
      <c r="I26" s="1006"/>
      <c r="J26" s="548"/>
      <c r="K26" s="550"/>
      <c r="L26" s="796"/>
      <c r="M26" s="796"/>
      <c r="N26" s="796"/>
      <c r="O26" s="796"/>
      <c r="P26" s="796"/>
      <c r="Q26" s="548"/>
      <c r="R26" s="550"/>
      <c r="S26" s="796"/>
      <c r="T26" s="1006"/>
      <c r="U26" s="1006">
        <v>459143</v>
      </c>
      <c r="V26" s="1006">
        <v>459143</v>
      </c>
      <c r="W26" s="1006"/>
      <c r="X26" s="548">
        <f t="shared" si="2"/>
        <v>1</v>
      </c>
    </row>
    <row r="27" spans="1:24" ht="29.25" customHeight="1" thickBot="1">
      <c r="A27" s="54">
        <v>6</v>
      </c>
      <c r="B27" s="80" t="s">
        <v>592</v>
      </c>
      <c r="C27" s="542" t="s">
        <v>209</v>
      </c>
      <c r="D27" s="544"/>
      <c r="E27" s="1006"/>
      <c r="F27" s="1006"/>
      <c r="G27" s="1006"/>
      <c r="H27" s="1006">
        <v>347668</v>
      </c>
      <c r="I27" s="1006"/>
      <c r="J27" s="548"/>
      <c r="K27" s="549"/>
      <c r="L27" s="1004"/>
      <c r="M27" s="1004"/>
      <c r="N27" s="1004"/>
      <c r="O27" s="1004"/>
      <c r="P27" s="1004"/>
      <c r="Q27" s="548"/>
      <c r="R27" s="549"/>
      <c r="S27" s="1004"/>
      <c r="T27" s="1006"/>
      <c r="U27" s="1006"/>
      <c r="V27" s="1006">
        <v>347668</v>
      </c>
      <c r="W27" s="1006"/>
      <c r="X27" s="548" t="e">
        <f t="shared" si="2"/>
        <v>#DIV/0!</v>
      </c>
    </row>
    <row r="28" spans="1:24" ht="29.25" customHeight="1" hidden="1">
      <c r="A28" s="54">
        <v>7</v>
      </c>
      <c r="B28" s="80" t="s">
        <v>491</v>
      </c>
      <c r="C28" s="542" t="s">
        <v>209</v>
      </c>
      <c r="D28" s="544"/>
      <c r="E28" s="1006"/>
      <c r="F28" s="1006"/>
      <c r="G28" s="1006"/>
      <c r="H28" s="1006"/>
      <c r="I28" s="1006"/>
      <c r="J28" s="548"/>
      <c r="K28" s="549"/>
      <c r="L28" s="1004"/>
      <c r="M28" s="1004"/>
      <c r="N28" s="1004"/>
      <c r="O28" s="1004"/>
      <c r="P28" s="1004"/>
      <c r="Q28" s="548"/>
      <c r="R28" s="549"/>
      <c r="S28" s="1004"/>
      <c r="T28" s="1006"/>
      <c r="U28" s="1006"/>
      <c r="V28" s="1006"/>
      <c r="W28" s="1006"/>
      <c r="X28" s="548" t="e">
        <f t="shared" si="2"/>
        <v>#DIV/0!</v>
      </c>
    </row>
    <row r="29" spans="1:24" ht="29.25" customHeight="1" hidden="1">
      <c r="A29" s="54">
        <v>8</v>
      </c>
      <c r="B29" s="80"/>
      <c r="C29" s="542" t="s">
        <v>209</v>
      </c>
      <c r="D29" s="544"/>
      <c r="E29" s="1006"/>
      <c r="F29" s="1006"/>
      <c r="G29" s="1006"/>
      <c r="H29" s="1006"/>
      <c r="I29" s="1006"/>
      <c r="J29" s="548"/>
      <c r="K29" s="549"/>
      <c r="L29" s="1004"/>
      <c r="M29" s="1004"/>
      <c r="N29" s="1004"/>
      <c r="O29" s="1005"/>
      <c r="P29" s="1005"/>
      <c r="Q29" s="548"/>
      <c r="R29" s="549"/>
      <c r="S29" s="1004"/>
      <c r="T29" s="1006"/>
      <c r="U29" s="1006"/>
      <c r="V29" s="1006"/>
      <c r="W29" s="1005"/>
      <c r="X29" s="548"/>
    </row>
    <row r="30" spans="1:24" ht="29.25" customHeight="1" hidden="1">
      <c r="A30" s="54">
        <v>9</v>
      </c>
      <c r="B30" s="80"/>
      <c r="C30" s="542"/>
      <c r="D30" s="544"/>
      <c r="E30" s="1006"/>
      <c r="F30" s="1006"/>
      <c r="G30" s="1006"/>
      <c r="H30" s="1006"/>
      <c r="I30" s="1006"/>
      <c r="J30" s="548" t="e">
        <f>G30/E30</f>
        <v>#DIV/0!</v>
      </c>
      <c r="K30" s="549"/>
      <c r="L30" s="1004"/>
      <c r="M30" s="1004"/>
      <c r="N30" s="1004"/>
      <c r="O30" s="1006"/>
      <c r="P30" s="1006"/>
      <c r="Q30" s="548" t="e">
        <f>N30/L30</f>
        <v>#DIV/0!</v>
      </c>
      <c r="R30" s="549"/>
      <c r="S30" s="1004"/>
      <c r="T30" s="1006"/>
      <c r="U30" s="1006"/>
      <c r="V30" s="1006"/>
      <c r="W30" s="1006"/>
      <c r="X30" s="548" t="e">
        <f>U30/S30</f>
        <v>#DIV/0!</v>
      </c>
    </row>
    <row r="31" spans="1:24" ht="29.25" customHeight="1" hidden="1" thickBot="1">
      <c r="A31" s="54">
        <v>10</v>
      </c>
      <c r="B31" s="86"/>
      <c r="C31" s="536"/>
      <c r="D31" s="544"/>
      <c r="E31" s="1006"/>
      <c r="F31" s="1006"/>
      <c r="G31" s="1006"/>
      <c r="H31" s="1006"/>
      <c r="I31" s="1006"/>
      <c r="J31" s="548" t="e">
        <f>G31/E31</f>
        <v>#DIV/0!</v>
      </c>
      <c r="K31" s="549"/>
      <c r="L31" s="1004"/>
      <c r="M31" s="1004"/>
      <c r="N31" s="1004"/>
      <c r="O31" s="1006"/>
      <c r="P31" s="1006"/>
      <c r="Q31" s="548" t="e">
        <f>N31/L31</f>
        <v>#DIV/0!</v>
      </c>
      <c r="R31" s="549"/>
      <c r="S31" s="1004"/>
      <c r="T31" s="1006"/>
      <c r="U31" s="1006"/>
      <c r="V31" s="1006"/>
      <c r="W31" s="1006"/>
      <c r="X31" s="548" t="e">
        <f>U31/S31</f>
        <v>#DIV/0!</v>
      </c>
    </row>
    <row r="32" spans="1:24" ht="29.25" customHeight="1" thickBot="1">
      <c r="A32" s="1114" t="s">
        <v>1</v>
      </c>
      <c r="B32" s="1115"/>
      <c r="C32" s="538"/>
      <c r="D32" s="553">
        <f aca="true" t="shared" si="3" ref="D32:I32">SUM(D22:D31)</f>
        <v>29000000</v>
      </c>
      <c r="E32" s="797">
        <f t="shared" si="3"/>
        <v>29000000</v>
      </c>
      <c r="F32" s="797">
        <f>SUM(F22:F31)</f>
        <v>25404181</v>
      </c>
      <c r="G32" s="797">
        <f>SUM(G22:G31)</f>
        <v>27387324</v>
      </c>
      <c r="H32" s="797">
        <f>SUM(H22:H31)</f>
        <v>27734992</v>
      </c>
      <c r="I32" s="797">
        <f t="shared" si="3"/>
        <v>0</v>
      </c>
      <c r="J32" s="795">
        <f>H32/G32</f>
        <v>1.0126944859600011</v>
      </c>
      <c r="K32" s="553">
        <f aca="true" t="shared" si="4" ref="K32:P32">SUM(K22:K31)</f>
        <v>0</v>
      </c>
      <c r="L32" s="797">
        <f t="shared" si="4"/>
        <v>0</v>
      </c>
      <c r="M32" s="797">
        <f t="shared" si="4"/>
        <v>0</v>
      </c>
      <c r="N32" s="797">
        <f t="shared" si="4"/>
        <v>0</v>
      </c>
      <c r="O32" s="797">
        <f t="shared" si="4"/>
        <v>0</v>
      </c>
      <c r="P32" s="797">
        <f t="shared" si="4"/>
        <v>0</v>
      </c>
      <c r="Q32" s="795" t="e">
        <f>O32/N32</f>
        <v>#DIV/0!</v>
      </c>
      <c r="R32" s="553">
        <f aca="true" t="shared" si="5" ref="R32:W32">SUM(R22:R31)</f>
        <v>29000000</v>
      </c>
      <c r="S32" s="797">
        <f t="shared" si="5"/>
        <v>29000000</v>
      </c>
      <c r="T32" s="797">
        <f>SUM(T22:T31)</f>
        <v>25404181</v>
      </c>
      <c r="U32" s="797">
        <f>SUM(U22:U31)</f>
        <v>27387324</v>
      </c>
      <c r="V32" s="797">
        <f>SUM(V22:V31)</f>
        <v>27734992</v>
      </c>
      <c r="W32" s="797">
        <f t="shared" si="5"/>
        <v>0</v>
      </c>
      <c r="X32" s="795">
        <f>V32/U32</f>
        <v>1.0126944859600011</v>
      </c>
    </row>
    <row r="34" spans="11:18" ht="12.75">
      <c r="K34" s="72"/>
      <c r="L34" s="72"/>
      <c r="M34" s="72"/>
      <c r="N34" s="72"/>
      <c r="O34" s="72"/>
      <c r="P34" s="72"/>
      <c r="Q34" s="72"/>
      <c r="R34" s="72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46" r:id="rId1"/>
  <headerFooter alignWithMargins="0">
    <oddHeader>&amp;CÖNKORMÁNYZATI BERUHÁZÁSOK ÉS FELÚJÍTÁSOK
2016.
&amp;R&amp;"Arial CE,Félkövér dőlt"6/a számú melléklet&amp;"Arial CE,Normál"
</oddHeader>
  </headerFooter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D2" sqref="D2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2.8515625" style="9" customWidth="1"/>
    <col min="8" max="8" width="13.57421875" style="9" customWidth="1"/>
    <col min="9" max="9" width="12.57421875" style="9" customWidth="1"/>
    <col min="10" max="10" width="11.8515625" style="9" hidden="1" customWidth="1"/>
    <col min="11" max="16384" width="9.140625" style="9" customWidth="1"/>
  </cols>
  <sheetData>
    <row r="1" spans="2:6" ht="12.75">
      <c r="B1" s="39"/>
      <c r="D1" s="1120" t="s">
        <v>594</v>
      </c>
      <c r="E1" s="1120"/>
      <c r="F1" s="12"/>
    </row>
    <row r="2" ht="12.75">
      <c r="B2" s="39"/>
    </row>
    <row r="3" spans="1:6" ht="18">
      <c r="A3" s="1121" t="s">
        <v>58</v>
      </c>
      <c r="B3" s="1121"/>
      <c r="C3" s="1121"/>
      <c r="D3" s="1121"/>
      <c r="E3" s="1121"/>
      <c r="F3" s="17"/>
    </row>
    <row r="4" spans="1:6" ht="18">
      <c r="A4" s="1121" t="s">
        <v>17</v>
      </c>
      <c r="B4" s="1121"/>
      <c r="C4" s="1121"/>
      <c r="D4" s="1121"/>
      <c r="E4" s="1121"/>
      <c r="F4" s="17"/>
    </row>
    <row r="5" spans="1:6" ht="18">
      <c r="A5" s="17"/>
      <c r="B5" s="29"/>
      <c r="C5" s="29"/>
      <c r="D5" s="17"/>
      <c r="E5" s="17"/>
      <c r="F5" s="17"/>
    </row>
    <row r="6" spans="1:6" ht="15.75">
      <c r="A6" s="1122" t="s">
        <v>525</v>
      </c>
      <c r="B6" s="1122"/>
      <c r="C6" s="1122"/>
      <c r="D6" s="1122"/>
      <c r="E6" s="1122"/>
      <c r="F6" s="10"/>
    </row>
    <row r="7" spans="1:8" ht="16.5" thickBot="1">
      <c r="A7" s="11"/>
      <c r="B7" s="40"/>
      <c r="C7" s="30"/>
      <c r="D7" s="10"/>
      <c r="E7" s="621"/>
      <c r="F7" s="22"/>
      <c r="G7" s="22" t="s">
        <v>511</v>
      </c>
      <c r="H7" s="22"/>
    </row>
    <row r="8" spans="1:10" ht="45.75" customHeight="1" thickBot="1">
      <c r="A8" s="21" t="s">
        <v>20</v>
      </c>
      <c r="B8" s="31" t="s">
        <v>18</v>
      </c>
      <c r="C8" s="31" t="s">
        <v>19</v>
      </c>
      <c r="D8" s="799" t="s">
        <v>31</v>
      </c>
      <c r="E8" s="805" t="s">
        <v>207</v>
      </c>
      <c r="F8" s="31" t="s">
        <v>231</v>
      </c>
      <c r="G8" s="31" t="s">
        <v>234</v>
      </c>
      <c r="H8" s="31" t="s">
        <v>237</v>
      </c>
      <c r="I8" s="31" t="s">
        <v>251</v>
      </c>
      <c r="J8" s="31" t="s">
        <v>256</v>
      </c>
    </row>
    <row r="9" spans="1:10" s="16" customFormat="1" ht="30" customHeight="1" thickBot="1">
      <c r="A9" s="25">
        <v>1</v>
      </c>
      <c r="B9" s="32" t="s">
        <v>347</v>
      </c>
      <c r="C9" s="32" t="s">
        <v>348</v>
      </c>
      <c r="D9" s="800" t="s">
        <v>15</v>
      </c>
      <c r="E9" s="806">
        <v>889000</v>
      </c>
      <c r="F9" s="806">
        <v>889000</v>
      </c>
      <c r="G9" s="806">
        <f>889000-419000</f>
        <v>470000</v>
      </c>
      <c r="H9" s="806">
        <f>889000-419000</f>
        <v>470000</v>
      </c>
      <c r="I9" s="806">
        <f>889000-419000</f>
        <v>470000</v>
      </c>
      <c r="J9" s="806"/>
    </row>
    <row r="10" spans="1:10" s="16" customFormat="1" ht="30" customHeight="1">
      <c r="A10" s="932">
        <v>2</v>
      </c>
      <c r="B10" s="32" t="s">
        <v>347</v>
      </c>
      <c r="C10" s="933" t="s">
        <v>558</v>
      </c>
      <c r="D10" s="934" t="s">
        <v>15</v>
      </c>
      <c r="E10" s="935">
        <v>0</v>
      </c>
      <c r="F10" s="935">
        <v>0</v>
      </c>
      <c r="G10" s="935">
        <v>419000</v>
      </c>
      <c r="H10" s="935">
        <v>419000</v>
      </c>
      <c r="I10" s="935">
        <v>419000</v>
      </c>
      <c r="J10" s="935"/>
    </row>
    <row r="11" spans="1:11" ht="30" customHeight="1">
      <c r="A11" s="35">
        <v>2</v>
      </c>
      <c r="B11" s="41" t="s">
        <v>214</v>
      </c>
      <c r="C11" s="36" t="s">
        <v>523</v>
      </c>
      <c r="D11" s="801" t="s">
        <v>15</v>
      </c>
      <c r="E11" s="807">
        <v>1118000</v>
      </c>
      <c r="F11" s="807">
        <v>1118000</v>
      </c>
      <c r="G11" s="807">
        <v>1118000</v>
      </c>
      <c r="H11" s="807">
        <v>1118000</v>
      </c>
      <c r="I11" s="807">
        <v>1118000</v>
      </c>
      <c r="J11" s="807"/>
      <c r="K11" s="642"/>
    </row>
    <row r="12" spans="1:10" ht="30" customHeight="1">
      <c r="A12" s="35">
        <v>3</v>
      </c>
      <c r="B12" s="41" t="s">
        <v>214</v>
      </c>
      <c r="C12" s="620" t="s">
        <v>524</v>
      </c>
      <c r="D12" s="801" t="s">
        <v>15</v>
      </c>
      <c r="E12" s="807">
        <v>152000</v>
      </c>
      <c r="F12" s="807">
        <v>152000</v>
      </c>
      <c r="G12" s="807">
        <v>152000</v>
      </c>
      <c r="H12" s="807">
        <v>152000</v>
      </c>
      <c r="I12" s="807">
        <v>152000</v>
      </c>
      <c r="J12" s="807"/>
    </row>
    <row r="13" spans="1:10" ht="30" customHeight="1" hidden="1">
      <c r="A13" s="37">
        <v>4</v>
      </c>
      <c r="B13" s="41" t="s">
        <v>214</v>
      </c>
      <c r="C13" s="61" t="s">
        <v>466</v>
      </c>
      <c r="D13" s="802" t="s">
        <v>15</v>
      </c>
      <c r="E13" s="808"/>
      <c r="F13" s="808"/>
      <c r="G13" s="808"/>
      <c r="H13" s="808"/>
      <c r="I13" s="808"/>
      <c r="J13" s="809"/>
    </row>
    <row r="14" spans="1:10" ht="30" customHeight="1">
      <c r="A14" s="35">
        <v>4</v>
      </c>
      <c r="B14" s="41" t="s">
        <v>214</v>
      </c>
      <c r="C14" s="61" t="s">
        <v>578</v>
      </c>
      <c r="D14" s="802" t="s">
        <v>15</v>
      </c>
      <c r="E14" s="808">
        <v>70000</v>
      </c>
      <c r="F14" s="808">
        <v>70000</v>
      </c>
      <c r="G14" s="808">
        <v>70000</v>
      </c>
      <c r="H14" s="808">
        <v>70000</v>
      </c>
      <c r="I14" s="808">
        <v>70000</v>
      </c>
      <c r="J14" s="809"/>
    </row>
    <row r="15" spans="1:10" ht="30" customHeight="1" hidden="1">
      <c r="A15" s="37">
        <v>6</v>
      </c>
      <c r="B15" s="41" t="s">
        <v>214</v>
      </c>
      <c r="C15" s="61" t="s">
        <v>467</v>
      </c>
      <c r="D15" s="803" t="s">
        <v>15</v>
      </c>
      <c r="E15" s="809"/>
      <c r="F15" s="809"/>
      <c r="G15" s="809"/>
      <c r="H15" s="809"/>
      <c r="I15" s="809"/>
      <c r="J15" s="809"/>
    </row>
    <row r="16" spans="1:10" ht="36.75" customHeight="1">
      <c r="A16" s="35">
        <v>5</v>
      </c>
      <c r="B16" s="41" t="s">
        <v>214</v>
      </c>
      <c r="C16" s="61" t="s">
        <v>468</v>
      </c>
      <c r="D16" s="803" t="s">
        <v>15</v>
      </c>
      <c r="E16" s="809">
        <v>127000</v>
      </c>
      <c r="F16" s="809">
        <v>127000</v>
      </c>
      <c r="G16" s="809">
        <v>127000</v>
      </c>
      <c r="H16" s="809">
        <v>127000</v>
      </c>
      <c r="I16" s="809">
        <v>127000</v>
      </c>
      <c r="J16" s="809"/>
    </row>
    <row r="17" spans="1:10" ht="36.75" customHeight="1" thickBot="1">
      <c r="A17" s="62">
        <v>6</v>
      </c>
      <c r="B17" s="41" t="s">
        <v>214</v>
      </c>
      <c r="C17" s="61" t="s">
        <v>579</v>
      </c>
      <c r="D17" s="803" t="s">
        <v>15</v>
      </c>
      <c r="E17" s="809"/>
      <c r="F17" s="809"/>
      <c r="G17" s="809"/>
      <c r="H17" s="809">
        <v>40000</v>
      </c>
      <c r="I17" s="809">
        <v>40000</v>
      </c>
      <c r="J17" s="809"/>
    </row>
    <row r="18" spans="1:10" ht="36.75" customHeight="1" hidden="1" thickBot="1">
      <c r="A18" s="62"/>
      <c r="B18" s="61"/>
      <c r="C18" s="61"/>
      <c r="D18" s="803" t="s">
        <v>16</v>
      </c>
      <c r="E18" s="809"/>
      <c r="F18" s="809"/>
      <c r="G18" s="809"/>
      <c r="H18" s="809"/>
      <c r="I18" s="809"/>
      <c r="J18" s="809"/>
    </row>
    <row r="19" spans="1:10" s="34" customFormat="1" ht="30" customHeight="1" thickBot="1">
      <c r="A19" s="1118" t="s">
        <v>1</v>
      </c>
      <c r="B19" s="1119"/>
      <c r="C19" s="33"/>
      <c r="D19" s="804"/>
      <c r="E19" s="810">
        <f aca="true" t="shared" si="0" ref="E19:J19">SUM(E9:E18)</f>
        <v>2356000</v>
      </c>
      <c r="F19" s="810">
        <f t="shared" si="0"/>
        <v>2356000</v>
      </c>
      <c r="G19" s="810">
        <f t="shared" si="0"/>
        <v>2356000</v>
      </c>
      <c r="H19" s="810">
        <f t="shared" si="0"/>
        <v>2396000</v>
      </c>
      <c r="I19" s="810">
        <f t="shared" si="0"/>
        <v>2396000</v>
      </c>
      <c r="J19" s="810">
        <f t="shared" si="0"/>
        <v>0</v>
      </c>
    </row>
  </sheetData>
  <sheetProtection/>
  <mergeCells count="5">
    <mergeCell ref="A19:B19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Iroda-1120</cp:lastModifiedBy>
  <cp:lastPrinted>2016-07-04T07:07:49Z</cp:lastPrinted>
  <dcterms:created xsi:type="dcterms:W3CDTF">2000-01-07T08:44:52Z</dcterms:created>
  <dcterms:modified xsi:type="dcterms:W3CDTF">2016-11-10T10:11:04Z</dcterms:modified>
  <cp:category/>
  <cp:version/>
  <cp:contentType/>
  <cp:contentStatus/>
</cp:coreProperties>
</file>